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hdn6gLaFoRgLXwMFLBSUv1IWH810oVQbxNJFsMSCFEaeKbHvKHWq554jRXtNrdHjKVP2q6abOQloTQfd5DKisg==" workbookSaltValue="0gcjWTQUci9Q2V0381AU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S19" i="8" l="1"/>
  <c r="C12" i="14"/>
  <c r="K12" i="14" s="1"/>
  <c r="BG10" i="8"/>
  <c r="BF9" i="8"/>
  <c r="AB13" i="21"/>
  <c r="AL16" i="11"/>
  <c r="C16" i="6"/>
  <c r="BE9" i="13"/>
  <c r="R8" i="9"/>
  <c r="T17" i="11" s="1"/>
  <c r="X10" i="17"/>
  <c r="X17" i="20"/>
  <c r="L11" i="2"/>
  <c r="S17" i="14"/>
  <c r="V17" i="14" s="1"/>
  <c r="S9" i="14"/>
  <c r="V9" i="14" s="1"/>
  <c r="AA10"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A15" i="16"/>
  <c r="T15" i="11"/>
  <c r="R12" i="14"/>
  <c r="V15" i="20"/>
  <c r="V18" i="20" s="1"/>
  <c r="AA12" i="21"/>
  <c r="X13" i="20"/>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O13" i="17" l="1"/>
  <c r="AL13" i="11"/>
  <c r="B13" i="6"/>
  <c r="T18" i="16"/>
  <c r="T19" i="16" s="1"/>
  <c r="BK18" i="11"/>
  <c r="Q16"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<sst xmlns="http://schemas.openxmlformats.org/spreadsheetml/2006/main" count="2102" uniqueCount="918">
  <si>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</si>
  <si>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</si>
  <si>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</si>
  <si>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</si>
  <si>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</si>
  <si>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</si>
  <si>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</si>
  <si>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</si>
  <si>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</si>
  <si>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</si>
  <si>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</si>
  <si>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</si>
  <si>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</si>
  <si>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</si>
  <si>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</si>
  <si>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</si>
  <si>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</si>
  <si>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</si>
  <si>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</si>
  <si>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</si>
  <si>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</si>
  <si>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</si>
  <si>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</si>
  <si>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</si>
  <si>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</si>
  <si>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</si>
  <si>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</si>
  <si>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</si>
  <si>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</si>
  <si>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</si>
  <si>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</si>
  <si>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</si>
  <si>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</si>
  <si>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</si>
  <si>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</si>
  <si>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</si>
  <si>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</si>
  <si>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</si>
  <si>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</si>
  <si>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</si>
  <si>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</si>
  <si>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</si>
  <si>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</si>
  <si>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</si>
  <si>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</si>
  <si>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</si>
  <si>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</si>
  <si>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</si>
  <si>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</si>
  <si>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</si>
  <si>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</si>
  <si>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</si>
  <si>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</si>
  <si>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</si>
  <si>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</si>
  <si>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</si>
  <si>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</si>
  <si>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</si>
  <si>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</si>
  <si>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</si>
  <si>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</si>
  <si>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</si>
  <si>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</si>
  <si>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</si>
  <si>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</si>
  <si>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</si>
  <si>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</si>
  <si>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</si>
  <si>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</si>
  <si>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</si>
  <si>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</si>
  <si>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</si>
  <si>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</si>
  <si>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</si>
  <si>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</si>
  <si>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</si>
  <si>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</si>
  <si>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</si>
  <si>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</si>
  <si>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</si>
  <si>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</si>
  <si>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</si>
  <si>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</si>
  <si>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</si>
  <si>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</si>
  <si>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</si>
  <si>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</si>
  <si>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</si>
  <si>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</si>
  <si>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</si>
  <si>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</si>
  <si>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</si>
  <si>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</si>
  <si>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</si>
  <si>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</si>
  <si>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</si>
  <si>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</si>
  <si>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</si>
  <si>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</si>
  <si>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</si>
  <si>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</si>
  <si>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</si>
  <si>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</si>
  <si>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</si>
  <si>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</si>
  <si>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</si>
  <si>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</si>
  <si>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</si>
  <si>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</si>
  <si>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</si>
  <si>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</si>
  <si>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</si>
  <si>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</si>
  <si>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</si>
  <si>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</si>
  <si>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</si>
  <si>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</si>
  <si>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</si>
  <si>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</si>
  <si>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</si>
  <si>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</si>
  <si>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</si>
  <si>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</si>
  <si>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</si>
  <si>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</si>
  <si>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</si>
  <si>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</si>
  <si>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</si>
  <si>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</si>
  <si>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</si>
  <si>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</si>
  <si>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</si>
  <si>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</si>
  <si>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</si>
  <si>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</si>
  <si>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</si>
  <si>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</si>
  <si>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</si>
  <si>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</si>
  <si>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</si>
  <si>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</si>
  <si>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</si>
  <si>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</si>
  <si>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</si>
  <si>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</si>
  <si>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</si>
  <si>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</si>
  <si>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</si>
  <si>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</si>
  <si>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</si>
  <si>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</si>
  <si>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</si>
  <si>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</si>
  <si>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</si>
  <si>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</si>
  <si>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</si>
  <si>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</si>
  <si>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</si>
  <si>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</si>
  <si>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</si>
  <si>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</si>
  <si>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</si>
  <si>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</si>
  <si>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</si>
  <si>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</si>
  <si>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</si>
  <si>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</si>
  <si>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</si>
  <si>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</si>
  <si>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</si>
  <si>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</si>
  <si>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</si>
  <si>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</si>
  <si>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</si>
  <si>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</si>
  <si>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</si>
  <si>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</si>
  <si>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</si>
  <si>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</si>
  <si>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</si>
  <si>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</si>
  <si>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</si>
  <si>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</si>
  <si>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</si>
  <si>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</si>
  <si>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</si>
  <si>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</si>
  <si>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</si>
  <si>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</si>
  <si>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</si>
  <si>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</si>
  <si>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</si>
  <si>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</si>
  <si>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</si>
  <si>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</si>
  <si>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</si>
  <si>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</si>
  <si>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</si>
  <si>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</si>
  <si>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</si>
  <si>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</si>
  <si>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</si>
  <si>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</si>
  <si>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</si>
  <si>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</si>
  <si>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</si>
  <si>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</si>
  <si>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</si>
  <si>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</si>
  <si>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</si>
  <si>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</si>
  <si>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</si>
  <si>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</si>
  <si>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</si>
  <si>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</si>
  <si>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</si>
  <si>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</si>
  <si>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</si>
  <si>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</si>
  <si>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</si>
  <si>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</si>
  <si>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</si>
  <si>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</si>
  <si>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</si>
  <si>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</si>
  <si>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</si>
  <si>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</si>
  <si>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</si>
  <si>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</si>
  <si>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</si>
  <si>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</si>
  <si>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</si>
  <si>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</si>
  <si>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</si>
  <si>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</si>
  <si>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</si>
  <si>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</si>
  <si>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</si>
  <si>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</si>
  <si>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</si>
  <si>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</si>
  <si>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</si>
  <si>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</si>
  <si>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</si>
  <si>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</si>
  <si>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</si>
  <si>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</si>
  <si>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</si>
  <si>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</si>
  <si>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</si>
  <si>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</si>
  <si>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</si>
  <si>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</si>
  <si>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</si>
  <si>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</si>
  <si>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</si>
  <si>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</si>
  <si>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</si>
  <si>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</si>
  <si>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</si>
  <si>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</si>
  <si>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</si>
  <si>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</si>
  <si>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</si>
  <si>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</si>
  <si>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</si>
  <si>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</si>
  <si>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</si>
  <si>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</si>
  <si>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</si>
  <si>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</si>
  <si>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</si>
  <si>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</si>
  <si>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</si>
  <si>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</si>
  <si>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</si>
  <si>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</si>
  <si>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</si>
  <si>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</si>
  <si>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</si>
  <si>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</si>
  <si>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</si>
  <si>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</si>
  <si>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</si>
  <si>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</si>
  <si>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</si>
  <si>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</si>
  <si>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</si>
  <si>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</si>
  <si>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</si>
  <si>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</si>
  <si>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</si>
  <si>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</si>
  <si>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</si>
  <si>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</si>
  <si>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</si>
  <si>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</si>
  <si>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</si>
  <si>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</si>
  <si>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</si>
  <si>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</si>
  <si>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</si>
  <si>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</si>
  <si>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</si>
  <si>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</si>
  <si>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</si>
  <si>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</si>
  <si>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</si>
  <si>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</si>
  <si>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</si>
  <si>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</si>
  <si>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</si>
  <si>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</si>
  <si>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</si>
  <si>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</si>
  <si>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</si>
  <si>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</si>
  <si>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</si>
  <si>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</si>
  <si>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</si>
  <si>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</si>
  <si>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</si>
  <si>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</si>
  <si>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</si>
  <si>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</si>
  <si>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</si>
  <si>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</si>
  <si>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</si>
  <si>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</si>
  <si>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</si>
  <si>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</si>
  <si>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</si>
  <si>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</si>
  <si>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</si>
  <si>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</si>
  <si>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</si>
  <si>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</si>
  <si>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</si>
  <si>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</si>
  <si>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</si>
  <si>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</si>
  <si>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</si>
  <si>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</si>
  <si>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</si>
  <si>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</si>
  <si>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</si>
  <si>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</si>
  <si>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</si>
  <si>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</si>
  <si>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</si>
  <si>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</si>
  <si>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</si>
  <si>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</si>
  <si>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</si>
  <si>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</si>
  <si>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</si>
  <si>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</si>
  <si>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</si>
  <si>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</si>
  <si>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</si>
  <si>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</si>
  <si>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</si>
  <si>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</si>
  <si>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</si>
  <si>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</si>
  <si>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</si>
  <si>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</si>
  <si>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</si>
  <si>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</si>
  <si>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</si>
  <si>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</si>
  <si>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</si>
  <si>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</si>
  <si>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</si>
  <si>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</si>
  <si>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</si>
  <si>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</si>
  <si>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</si>
  <si>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</si>
  <si>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</si>
  <si>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</si>
  <si>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</si>
  <si>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</si>
  <si>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</si>
  <si>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</si>
  <si>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</si>
  <si>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</si>
  <si>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</si>
  <si>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</si>
  <si>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</si>
  <si>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</si>
  <si>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</si>
  <si>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</si>
  <si>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</si>
  <si>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</si>
  <si>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</si>
  <si>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</si>
  <si>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</si>
  <si>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</si>
  <si>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</si>
  <si>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</si>
  <si>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</si>
  <si>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</si>
  <si>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</si>
  <si>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</si>
  <si>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</si>
  <si>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</si>
  <si>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</si>
  <si>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</si>
  <si>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</si>
  <si>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</si>
  <si>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</si>
  <si>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</si>
  <si>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</si>
  <si>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</si>
  <si>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</si>
  <si>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</si>
  <si>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</si>
  <si>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</si>
  <si>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</si>
  <si>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</si>
  <si>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</si>
  <si>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</si>
  <si>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</si>
  <si>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</si>
  <si>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</si>
  <si>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</si>
  <si>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</si>
  <si>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</si>
  <si>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</si>
  <si>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</si>
  <si>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</si>
  <si>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</si>
  <si>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</si>
  <si>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</si>
  <si>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</si>
  <si>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</si>
  <si>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</si>
  <si>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</si>
  <si>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</si>
  <si>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</si>
  <si>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</si>
  <si>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</si>
  <si>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</si>
  <si>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</si>
  <si>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</si>
  <si>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</si>
  <si>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</si>
  <si>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</si>
  <si>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</si>
  <si>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</si>
  <si>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</si>
  <si>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</si>
  <si>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</si>
  <si>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</si>
  <si>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</si>
  <si>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</si>
  <si>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</si>
  <si>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</si>
  <si>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</si>
  <si>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</si>
  <si>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</si>
  <si>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</si>
  <si>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</si>
  <si>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</si>
  <si>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</si>
  <si>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</si>
  <si>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</si>
  <si>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</si>
  <si>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</si>
  <si>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</si>
  <si>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</si>
  <si>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</si>
  <si>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</si>
  <si>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</si>
  <si>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</si>
  <si>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</si>
  <si>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</si>
  <si>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</si>
  <si>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</si>
  <si>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</si>
  <si>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</si>
  <si>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</si>
  <si>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</si>
  <si>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</si>
  <si>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</si>
  <si>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</si>
  <si>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</si>
  <si>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</si>
  <si>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</si>
  <si>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</si>
  <si>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</si>
  <si>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</si>
  <si>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</si>
  <si>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</si>
  <si>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</si>
  <si>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</si>
  <si>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</si>
  <si>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</si>
  <si>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</si>
  <si>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</si>
  <si>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</si>
  <si>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</si>
  <si>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</si>
  <si>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</si>
  <si>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</si>
  <si>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</si>
  <si>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</si>
  <si>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</si>
  <si>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</si>
  <si>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</si>
  <si>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</si>
  <si>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</si>
  <si>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</si>
  <si>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</si>
  <si>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</si>
  <si>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</si>
  <si>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</si>
  <si>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</si>
  <si>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</si>
  <si>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</si>
  <si>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</si>
  <si>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</si>
  <si>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</si>
  <si>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</si>
  <si>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</si>
  <si>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</si>
  <si>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</si>
  <si>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</si>
  <si>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</si>
  <si>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</si>
  <si>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</si>
  <si>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</si>
  <si>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</si>
  <si>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</si>
  <si>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</si>
  <si>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</si>
  <si>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</si>
  <si>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</si>
  <si>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</si>
  <si>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</si>
  <si>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</si>
  <si>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</si>
  <si>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</si>
  <si>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</si>
  <si>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</si>
  <si>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</si>
  <si>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</si>
  <si>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</si>
  <si>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</si>
  <si>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</si>
  <si>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</si>
  <si>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</si>
  <si>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</si>
  <si>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</si>
  <si>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</si>
  <si>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</si>
  <si>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</si>
  <si>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</si>
  <si>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</si>
  <si>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</si>
  <si>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</si>
  <si>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</si>
  <si>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</si>
  <si>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</si>
  <si>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</si>
  <si>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</si>
  <si>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</si>
  <si>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</si>
  <si>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</si>
  <si>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</si>
  <si>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</si>
  <si>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</si>
  <si>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</si>
  <si>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</si>
  <si>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</si>
  <si>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</si>
  <si>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</si>
  <si>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</si>
  <si>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</si>
  <si>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</si>
  <si>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</si>
  <si>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</si>
  <si>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</si>
  <si>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</si>
  <si>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</si>
  <si>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</si>
  <si>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</si>
  <si>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</si>
  <si>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</si>
  <si>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</si>
  <si>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</si>
  <si>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</si>
  <si>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</si>
  <si>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</si>
  <si>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</si>
  <si>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</si>
  <si>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</si>
  <si>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</si>
  <si>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</si>
  <si>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</si>
  <si>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</si>
  <si>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</si>
  <si>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</si>
  <si>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</si>
  <si>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</si>
  <si>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</si>
  <si>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</si>
  <si>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</si>
  <si>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</si>
  <si>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</si>
  <si>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</si>
  <si>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</si>
  <si>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</si>
  <si>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</si>
  <si>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</si>
  <si>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</si>
  <si>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</si>
  <si>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</si>
  <si>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</si>
  <si>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</si>
  <si>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</si>
  <si>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</si>
  <si>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</si>
  <si>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</si>
  <si>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</si>
  <si>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</si>
  <si>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</si>
  <si>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</si>
  <si>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</si>
  <si>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</si>
  <si>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</si>
  <si>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</si>
  <si>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</si>
  <si>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</si>
  <si>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</si>
  <si>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</si>
  <si>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</si>
  <si>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</si>
  <si>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</si>
  <si>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</si>
  <si>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</si>
  <si>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</si>
  <si>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</si>
  <si>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</si>
  <si>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</si>
  <si>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</si>
  <si>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</si>
  <si>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</si>
  <si>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</si>
  <si>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</si>
  <si>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</si>
  <si>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</si>
  <si>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</si>
  <si>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</si>
  <si>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</si>
  <si>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</si>
  <si>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</si>
  <si>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</si>
  <si>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</si>
  <si>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</si>
  <si>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</si>
  <si>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</si>
  <si>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</si>
  <si>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</si>
  <si>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</si>
  <si>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</si>
  <si>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</si>
  <si>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</si>
  <si>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</si>
  <si>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</si>
  <si>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</si>
  <si>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</si>
  <si>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</si>
  <si>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</si>
  <si>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</si>
  <si>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</si>
  <si>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</si>
  <si>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</si>
  <si>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</si>
  <si>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</si>
  <si>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</si>
  <si>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</si>
  <si>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</si>
  <si>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</si>
  <si>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</si>
  <si>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</si>
  <si>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</si>
  <si>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</si>
  <si>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</si>
  <si>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</si>
  <si>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</si>
  <si>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</si>
  <si>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</si>
  <si>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</si>
  <si>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</si>
  <si>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</si>
  <si>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</si>
  <si>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</si>
  <si>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</si>
  <si>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</si>
  <si>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</si>
  <si>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</si>
  <si>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</si>
  <si>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</si>
  <si>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</si>
  <si>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</si>
  <si>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</si>
  <si>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</si>
  <si>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</si>
  <si>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</si>
  <si>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</si>
  <si>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</si>
  <si>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</si>
  <si>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</si>
  <si>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</si>
  <si>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</si>
  <si>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</si>
  <si>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</si>
  <si>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</si>
  <si>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</si>
  <si>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</si>
  <si>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</si>
  <si>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</si>
  <si>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</si>
  <si>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</si>
  <si>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</si>
  <si>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</si>
  <si>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</si>
  <si>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</si>
  <si>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</si>
  <si>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</si>
  <si>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</si>
  <si>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</si>
  <si>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</si>
  <si>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</si>
  <si>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</si>
  <si>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</si>
  <si>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</si>
  <si>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</si>
  <si>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</si>
  <si>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</si>
  <si>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</si>
  <si>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</si>
  <si>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</si>
  <si>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</si>
  <si>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</si>
  <si>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</si>
  <si>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</si>
  <si>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</si>
  <si>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</si>
  <si>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</si>
  <si>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</si>
  <si>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</si>
  <si>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</si>
  <si>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</si>
  <si>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</si>
  <si>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</si>
  <si>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</si>
  <si>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</si>
  <si>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</si>
  <si>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</si>
  <si>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</si>
  <si>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</si>
  <si>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</si>
  <si>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</si>
  <si>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</si>
  <si>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</si>
  <si>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</si>
  <si>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</si>
  <si>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</si>
  <si>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</si>
  <si>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</si>
  <si>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</si>
  <si>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</si>
  <si>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</si>
  <si>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</si>
  <si>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</si>
  <si>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</si>
  <si>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</si>
  <si>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</si>
  <si>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</si>
  <si>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</si>
  <si>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</si>
  <si>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</si>
  <si>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</si>
  <si>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</si>
  <si>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</si>
  <si>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</si>
  <si>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</si>
  <si>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</si>
  <si>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</si>
  <si>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</si>
  <si>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</si>
  <si>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</si>
  <si>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</si>
  <si>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</si>
  <si>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</si>
  <si>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</si>
  <si>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</si>
  <si>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</si>
  <si>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</si>
  <si>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</si>
  <si>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</si>
  <si>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</si>
  <si>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</si>
  <si>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</si>
  <si>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</si>
  <si>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</si>
  <si>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</si>
  <si>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</si>
  <si>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</si>
  <si>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</si>
  <si>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</si>
  <si>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</si>
  <si>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</si>
  <si>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</si>
  <si>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</si>
  <si>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</si>
  <si>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</si>
  <si>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</si>
  <si>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</si>
  <si>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</si>
  <si>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</si>
  <si>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</si>
  <si>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</si>
  <si>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</si>
  <si>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</si>
  <si>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</si>
  <si>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</si>
  <si>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</si>
  <si>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</si>
  <si>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</si>
  <si>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</si>
  <si>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</si>
  <si>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</si>
  <si>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</si>
  <si>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</si>
  <si>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</si>
  <si>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</si>
  <si>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</si>
  <si>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</si>
  <si>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</si>
  <si>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</si>
  <si>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</si>
  <si>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</si>
  <si>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</si>
  <si>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</si>
  <si>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</si>
  <si>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</si>
  <si>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</si>
  <si>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</si>
  <si>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</si>
  <si>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</si>
  <si>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</si>
  <si>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</si>
  <si>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</si>
  <si>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</si>
  <si>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</si>
  <si>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</si>
  <si>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</si>
  <si>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</si>
  <si>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</si>
  <si>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</si>
  <si>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</si>
  <si>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</si>
  <si>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</si>
  <si>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</si>
  <si>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</si>
  <si>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</si>
  <si>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</si>
  <si>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</si>
  <si>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</si>
  <si>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</si>
  <si>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</si>
  <si>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</si>
  <si>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</si>
  <si>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</si>
  <si>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</si>
  <si>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</si>
  <si>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</si>
  <si>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</si>
  <si>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</si>
  <si>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</si>
  <si>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</si>
  <si>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</si>
  <si>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</si>
  <si>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</si>
  <si>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</si>
  <si>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</si>
  <si>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</si>
  <si>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</si>
  <si>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</si>
  <si>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</si>
  <si>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</si>
  <si>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</si>
  <si>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</si>
  <si>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</si>
  <si>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</si>
  <si>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</si>
  <si>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</si>
  <si>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</si>
  <si>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</si>
  <si>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</si>
  <si>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</si>
  <si>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</si>
  <si>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</si>
  <si>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</si>
  <si>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</si>
  <si>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</si>
  <si>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</si>
  <si>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</si>
  <si>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</si>
  <si>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</si>
  <si>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</si>
  <si>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ZAMORA</t>
  </si>
  <si>
    <t>Resumenes por Partidos Judiciales</t>
  </si>
  <si>
    <t>PUEBLA DE SANABRIA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</si>
</sst>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KpnCMDhQf49hpK8H2iSDE5dU6DztaS0EvVtjojkc0XOjOsGgq6g4d8dWKc2o1CvXONS584C5CGHvh3jlptGdA==" saltValue="9j6D4gNNBOZzUuUJmx7B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28.064102564102562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133</v>
      </c>
      <c r="D16" s="225">
        <f>IF(ISNUMBER(IF(D_I="SI",Datos!I16,Datos!I16+Datos!AC16)),IF(D_I="SI",Datos!I16,Datos!I16+Datos!AC16)," - ")</f>
        <v>133</v>
      </c>
      <c r="E16" s="226">
        <f>IF(ISNUMBER(IF(D_I="SI",Datos!J16,Datos!J16+Datos!AD16)),IF(D_I="SI",Datos!J16,Datos!J16+Datos!AD16)," - ")</f>
        <v>132</v>
      </c>
      <c r="F16" s="226">
        <f>IF(ISNUMBER(IF(D_I="SI",Datos!K16,Datos!K16+Datos!AE16)),IF(D_I="SI",Datos!K16,Datos!K16+Datos!AE16)," - ")</f>
        <v>162</v>
      </c>
      <c r="G16" s="1034" t="str">
        <f>IF(Datos!E16&lt;&gt;"",Datos!E16,Datos!D16)</f>
        <v>04</v>
      </c>
      <c r="H16" s="227">
        <f>IF(ISNUMBER(IF(D_I="SI",Datos!L16,Datos!L16+Datos!AF16)),IF(D_I="SI",Datos!L16,Datos!L16+Datos!AF16)," - ")</f>
        <v>103</v>
      </c>
      <c r="I16" s="1044" t="str">
        <f>IF(ISNUMBER(Datos!AS16/Datos!BM16),Datos!AS16/Datos!BM16," - ")</f>
        <v xml:space="preserve"> - </v>
      </c>
      <c r="J16" s="1045">
        <f>IF(ISNUMBER(Datos!BY16/Datos!CN16),Datos!BY16/Datos!CN16," - ")</f>
        <v>0</v>
      </c>
      <c r="K16" s="230">
        <f t="shared" si="3"/>
        <v>-0.22556390977443608</v>
      </c>
      <c r="L16" s="1025">
        <f>IF(ISNUMBER(NºAsuntos!I16/NºAsuntos!G16),(NºAsuntos!I16/NºAsuntos!G16)*11," - ")</f>
        <v>6.9938271604938276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7</v>
      </c>
      <c r="F17" s="226">
        <f>IF(ISNUMBER(IF(D_I="SI",Datos!K17,Datos!K17+Datos!AE17)),IF(D_I="SI",Datos!K17,Datos!K17+Datos!AE17)," - ")</f>
        <v>6</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138</v>
      </c>
      <c r="D18" s="1049">
        <f>SUBTOTAL(9,D15:D17)</f>
        <v>138</v>
      </c>
      <c r="E18" s="1050">
        <f>SUBTOTAL(9,E15:E17)</f>
        <v>139</v>
      </c>
      <c r="F18" s="1050">
        <f>SUBTOTAL(9,F15:F17)</f>
        <v>168</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138</v>
      </c>
      <c r="D19" s="1071">
        <f>SUBTOTAL(9,D9:D18)</f>
        <v>138</v>
      </c>
      <c r="E19" s="1072">
        <f>SUBTOTAL(9,E9:E18)</f>
        <v>140</v>
      </c>
      <c r="F19" s="1072">
        <f>SUBTOTAL(9,F9:F18)</f>
        <v>168</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cCdl4H5ttLy+MItHNzZ5PZgX7BYneW6w1nf+BcTUuq1wjsXRmPDzapgr0Htxs9Bj7AOq08xzRi9FeXKcnG8hQ==" saltValue="RNq5fQowhH5/QEPc8/Cqz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7LAKB1APioXtIsHQ4IkWO7VKJz38wRLuyjdd2KhnHqoU3aETiBIcvPC/h1k9Fzx2vzE1avzJ85SYccMNthN8w==" saltValue="x3dCdlT8CxrQnIGhxkvi3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171</v>
      </c>
      <c r="J12" s="183">
        <v>72</v>
      </c>
      <c r="K12" s="183">
        <v>76</v>
      </c>
      <c r="L12" s="183">
        <v>167</v>
      </c>
      <c r="M12" s="183">
        <v>27</v>
      </c>
      <c r="N12" s="183">
        <v>19</v>
      </c>
      <c r="O12" s="181">
        <v>32</v>
      </c>
      <c r="P12" s="183">
        <v>17</v>
      </c>
      <c r="Q12" s="183">
        <v>12</v>
      </c>
      <c r="R12" s="183">
        <v>293</v>
      </c>
      <c r="S12" s="183">
        <v>128</v>
      </c>
      <c r="T12" s="183">
        <v>52</v>
      </c>
      <c r="U12" s="183">
        <v>64</v>
      </c>
      <c r="V12" s="183">
        <v>116</v>
      </c>
      <c r="W12" s="183">
        <v>27</v>
      </c>
      <c r="X12" s="189">
        <v>2</v>
      </c>
      <c r="Y12" s="191">
        <v>3</v>
      </c>
      <c r="Z12" s="181">
        <v>31</v>
      </c>
      <c r="AA12" s="181">
        <v>2</v>
      </c>
      <c r="AB12" s="181">
        <v>32</v>
      </c>
      <c r="AC12" s="183">
        <v>0</v>
      </c>
      <c r="AD12" s="183">
        <v>0</v>
      </c>
      <c r="AE12" s="183">
        <v>0</v>
      </c>
      <c r="AF12" s="189">
        <v>0</v>
      </c>
      <c r="AG12" s="202">
        <v>5</v>
      </c>
      <c r="AH12" s="183">
        <v>3</v>
      </c>
      <c r="AI12" s="183">
        <v>7</v>
      </c>
      <c r="AJ12" s="203">
        <v>1</v>
      </c>
      <c r="AK12" s="182">
        <v>0</v>
      </c>
      <c r="AL12" s="183">
        <v>0</v>
      </c>
      <c r="AM12" s="183">
        <v>0</v>
      </c>
      <c r="AN12" s="189">
        <v>0</v>
      </c>
      <c r="AO12" s="259">
        <v>1</v>
      </c>
      <c r="AP12" s="155">
        <v>1</v>
      </c>
      <c r="AQ12" s="155">
        <v>1</v>
      </c>
      <c r="AR12" s="154">
        <v>1</v>
      </c>
      <c r="AS12" s="340" t="s">
        <v>802</v>
      </c>
      <c r="AT12" s="203"/>
      <c r="AU12" s="202"/>
      <c r="AV12" s="203"/>
      <c r="AW12" s="202"/>
      <c r="AX12" s="203"/>
      <c r="AY12" s="126">
        <f t="shared" si="1"/>
        <v>133</v>
      </c>
      <c r="AZ12" s="127">
        <f t="shared" si="1"/>
        <v>55</v>
      </c>
      <c r="BA12" s="127">
        <f t="shared" si="1"/>
        <v>71</v>
      </c>
      <c r="BB12" s="127">
        <f t="shared" si="1"/>
        <v>117</v>
      </c>
      <c r="BC12" s="125">
        <f>IF(ISNUMBER(X12),X12," - ")</f>
        <v>2</v>
      </c>
      <c r="BD12" s="126">
        <f t="shared" si="2"/>
        <v>1.290909090909091</v>
      </c>
      <c r="BE12" s="127">
        <f t="shared" si="3"/>
        <v>1.647887323943662</v>
      </c>
      <c r="BF12" s="127">
        <f t="shared" si="4"/>
        <v>2.8169014084507043E-2</v>
      </c>
      <c r="BG12" s="196">
        <f t="shared" si="5"/>
        <v>2.647887323943662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171</v>
      </c>
      <c r="J13" s="184">
        <f t="shared" si="6"/>
        <v>73</v>
      </c>
      <c r="K13" s="184">
        <f t="shared" si="6"/>
        <v>76</v>
      </c>
      <c r="L13" s="184">
        <f t="shared" si="6"/>
        <v>168</v>
      </c>
      <c r="M13" s="184">
        <f t="shared" si="6"/>
        <v>27</v>
      </c>
      <c r="N13" s="184">
        <f t="shared" si="6"/>
        <v>19</v>
      </c>
      <c r="O13" s="184">
        <f t="shared" si="6"/>
        <v>32</v>
      </c>
      <c r="P13" s="184">
        <f t="shared" si="6"/>
        <v>17</v>
      </c>
      <c r="Q13" s="184">
        <f t="shared" si="6"/>
        <v>12</v>
      </c>
      <c r="R13" s="184">
        <f t="shared" si="6"/>
        <v>293</v>
      </c>
      <c r="S13" s="184">
        <f t="shared" si="6"/>
        <v>128</v>
      </c>
      <c r="T13" s="184">
        <f t="shared" si="6"/>
        <v>52</v>
      </c>
      <c r="U13" s="184">
        <f t="shared" si="6"/>
        <v>64</v>
      </c>
      <c r="V13" s="184">
        <f t="shared" si="6"/>
        <v>116</v>
      </c>
      <c r="W13" s="184">
        <f t="shared" si="6"/>
        <v>27</v>
      </c>
      <c r="X13" s="184">
        <f t="shared" si="6"/>
        <v>2</v>
      </c>
      <c r="Y13" s="184">
        <f t="shared" si="6"/>
        <v>3</v>
      </c>
      <c r="Z13" s="184">
        <f t="shared" si="6"/>
        <v>31</v>
      </c>
      <c r="AA13" s="184">
        <f t="shared" si="6"/>
        <v>2</v>
      </c>
      <c r="AB13" s="184">
        <f t="shared" si="6"/>
        <v>32</v>
      </c>
      <c r="AC13" s="184">
        <f t="shared" si="6"/>
        <v>0</v>
      </c>
      <c r="AD13" s="184">
        <f t="shared" si="6"/>
        <v>0</v>
      </c>
      <c r="AE13" s="184">
        <f t="shared" si="6"/>
        <v>0</v>
      </c>
      <c r="AF13" s="184">
        <f>SUBTOTAL(9,AF9:AF12)</f>
        <v>0</v>
      </c>
      <c r="AG13" s="184">
        <f t="shared" ref="AG13:AT13" si="7">SUBTOTAL(9,AG8:AG12)</f>
        <v>5</v>
      </c>
      <c r="AH13" s="184">
        <f t="shared" si="7"/>
        <v>3</v>
      </c>
      <c r="AI13" s="184">
        <f t="shared" si="7"/>
        <v>7</v>
      </c>
      <c r="AJ13" s="184">
        <f t="shared" si="7"/>
        <v>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133</v>
      </c>
      <c r="AZ13" s="184">
        <f>SUBTOTAL(9,AZ8:AZ12)</f>
        <v>55</v>
      </c>
      <c r="BA13" s="184">
        <f>SUBTOTAL(9,BA8:BA12)</f>
        <v>71</v>
      </c>
      <c r="BB13" s="184">
        <f>SUBTOTAL(9,BB8:BB12)</f>
        <v>117</v>
      </c>
      <c r="BC13" s="184">
        <f>SUBTOTAL(9,BC8:BC12)</f>
        <v>2</v>
      </c>
      <c r="BD13" s="205">
        <f>IF(ISNUMBER(BA13/AZ13),BA13/AZ13," - ")</f>
        <v>1.290909090909091</v>
      </c>
      <c r="BE13" s="206">
        <f>IF(ISNUMBER(BB13/BA13),BB13/BA13, " - ")</f>
        <v>1.647887323943662</v>
      </c>
      <c r="BF13" s="206">
        <f>IF(ISNUMBER(BC13/BA13),BC13/BA13, " - ")</f>
        <v>2.8169014084507043E-2</v>
      </c>
      <c r="BG13" s="207">
        <f>IF(ISNUMBER((AY13+AZ13)/BA13),(AY13+AZ13)/BA13," - ")</f>
        <v>2.647887323943662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133</v>
      </c>
      <c r="J16" s="183">
        <v>132</v>
      </c>
      <c r="K16" s="183">
        <v>162</v>
      </c>
      <c r="L16" s="183">
        <v>103</v>
      </c>
      <c r="M16" s="183">
        <v>25</v>
      </c>
      <c r="N16" s="183">
        <v>64</v>
      </c>
      <c r="O16" s="181">
        <v>1</v>
      </c>
      <c r="P16" s="183">
        <v>3</v>
      </c>
      <c r="Q16" s="183">
        <v>1</v>
      </c>
      <c r="R16" s="183">
        <v>36</v>
      </c>
      <c r="S16" s="183">
        <v>196</v>
      </c>
      <c r="T16" s="183">
        <v>124</v>
      </c>
      <c r="U16" s="183">
        <v>114</v>
      </c>
      <c r="V16" s="183">
        <v>210</v>
      </c>
      <c r="W16" s="183">
        <v>20</v>
      </c>
      <c r="X16" s="189">
        <v>70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196</v>
      </c>
      <c r="AZ16" s="127">
        <f t="shared" si="9"/>
        <v>124</v>
      </c>
      <c r="BA16" s="127">
        <f t="shared" si="9"/>
        <v>114</v>
      </c>
      <c r="BB16" s="127">
        <f t="shared" si="9"/>
        <v>210</v>
      </c>
      <c r="BC16" s="125">
        <f>IF(ISNUMBER(W16),W16," - ")</f>
        <v>20</v>
      </c>
      <c r="BD16" s="126">
        <f t="shared" ref="BD16" si="11">IF(ISNUMBER(BA16/AZ16),BA16/AZ16," - ")</f>
        <v>0.91935483870967738</v>
      </c>
      <c r="BE16" s="127">
        <f t="shared" ref="BE16" si="12">IF(ISNUMBER(BB16/BA16),BB16/BA16, " - ")</f>
        <v>1.8421052631578947</v>
      </c>
      <c r="BF16" s="127">
        <f t="shared" ref="BF16" si="13">IF(ISNUMBER(BC16/BA16),BC16/BA16, " - ")</f>
        <v>0.17543859649122806</v>
      </c>
      <c r="BG16" s="196">
        <f t="shared" si="10"/>
        <v>2.807017543859649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7</v>
      </c>
      <c r="K17" s="183">
        <v>6</v>
      </c>
      <c r="L17" s="183">
        <v>6</v>
      </c>
      <c r="M17" s="183">
        <v>2</v>
      </c>
      <c r="N17" s="183">
        <v>8</v>
      </c>
      <c r="O17" s="183">
        <v>0</v>
      </c>
      <c r="P17" s="183">
        <v>0</v>
      </c>
      <c r="Q17" s="183">
        <v>0</v>
      </c>
      <c r="R17" s="183">
        <v>0</v>
      </c>
      <c r="S17" s="183">
        <v>6</v>
      </c>
      <c r="T17" s="183">
        <v>8</v>
      </c>
      <c r="U17" s="183">
        <v>7</v>
      </c>
      <c r="V17" s="183">
        <v>7</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8</v>
      </c>
      <c r="BA17" s="129">
        <f t="shared" si="14"/>
        <v>7</v>
      </c>
      <c r="BB17" s="129">
        <f t="shared" si="14"/>
        <v>7</v>
      </c>
      <c r="BC17" s="125">
        <f>IF(ISNUMBER(W17),W17," - ")</f>
        <v>0</v>
      </c>
      <c r="BD17" s="126">
        <f>IF(ISNUMBER(BA17/AZ17),BA17/AZ17," - ")</f>
        <v>0.875</v>
      </c>
      <c r="BE17" s="127">
        <f>IF(ISNUMBER(BB17/BA17),BB17/BA17, " - ")</f>
        <v>1</v>
      </c>
      <c r="BF17" s="127">
        <f>IF(ISNUMBER(BC17/BA17),BC17/BA17, " - ")</f>
        <v>0</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138</v>
      </c>
      <c r="J18" s="184">
        <f t="shared" si="15"/>
        <v>139</v>
      </c>
      <c r="K18" s="184">
        <f t="shared" si="15"/>
        <v>168</v>
      </c>
      <c r="L18" s="184">
        <f t="shared" si="15"/>
        <v>109</v>
      </c>
      <c r="M18" s="184">
        <f t="shared" si="15"/>
        <v>27</v>
      </c>
      <c r="N18" s="184">
        <f t="shared" si="15"/>
        <v>72</v>
      </c>
      <c r="O18" s="184">
        <f t="shared" si="15"/>
        <v>1</v>
      </c>
      <c r="P18" s="184">
        <f t="shared" si="15"/>
        <v>3</v>
      </c>
      <c r="Q18" s="184">
        <f t="shared" si="15"/>
        <v>1</v>
      </c>
      <c r="R18" s="184">
        <f t="shared" si="15"/>
        <v>36</v>
      </c>
      <c r="S18" s="184">
        <f t="shared" si="15"/>
        <v>202</v>
      </c>
      <c r="T18" s="184">
        <f t="shared" si="15"/>
        <v>132</v>
      </c>
      <c r="U18" s="184">
        <f t="shared" si="15"/>
        <v>121</v>
      </c>
      <c r="V18" s="184">
        <f t="shared" si="15"/>
        <v>217</v>
      </c>
      <c r="W18" s="184">
        <f t="shared" si="15"/>
        <v>20</v>
      </c>
      <c r="X18" s="184">
        <f t="shared" si="15"/>
        <v>75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202</v>
      </c>
      <c r="AZ18" s="184">
        <f>SUBTOTAL(9,AZ14:AZ17)</f>
        <v>132</v>
      </c>
      <c r="BA18" s="184">
        <f>SUBTOTAL(9,BA14:BA17)</f>
        <v>121</v>
      </c>
      <c r="BB18" s="184">
        <f>SUBTOTAL(9,BB14:BB17)</f>
        <v>217</v>
      </c>
      <c r="BC18" s="184">
        <f>SUBTOTAL(9,BC14:BC17)</f>
        <v>20</v>
      </c>
      <c r="BD18" s="205">
        <f>IF(ISNUMBER(BA18/AZ18),BA18/AZ18," - ")</f>
        <v>0.91666666666666663</v>
      </c>
      <c r="BE18" s="206">
        <f>IF(ISNUMBER(BB18/BA18),BB18/BA18, " - ")</f>
        <v>1.7933884297520661</v>
      </c>
      <c r="BF18" s="206">
        <f>IF(ISNUMBER(BC18/BA18),BC18/BA18, " - ")</f>
        <v>0.16528925619834711</v>
      </c>
      <c r="BG18" s="207">
        <f>IF(ISNUMBER((AY18+AZ18)/BA18),(AY18+AZ18)/BA18," - ")</f>
        <v>2.7603305785123968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309</v>
      </c>
      <c r="J19" s="134">
        <f t="shared" si="18"/>
        <v>212</v>
      </c>
      <c r="K19" s="134">
        <f t="shared" si="18"/>
        <v>244</v>
      </c>
      <c r="L19" s="134">
        <f t="shared" si="18"/>
        <v>277</v>
      </c>
      <c r="M19" s="134">
        <f t="shared" si="18"/>
        <v>54</v>
      </c>
      <c r="N19" s="134">
        <f t="shared" si="18"/>
        <v>91</v>
      </c>
      <c r="O19" s="134">
        <f t="shared" si="18"/>
        <v>33</v>
      </c>
      <c r="P19" s="134">
        <f t="shared" si="18"/>
        <v>20</v>
      </c>
      <c r="Q19" s="134">
        <f t="shared" si="18"/>
        <v>13</v>
      </c>
      <c r="R19" s="134">
        <f t="shared" si="18"/>
        <v>329</v>
      </c>
      <c r="S19" s="134">
        <f t="shared" si="18"/>
        <v>330</v>
      </c>
      <c r="T19" s="134">
        <f t="shared" si="18"/>
        <v>184</v>
      </c>
      <c r="U19" s="134">
        <f t="shared" si="18"/>
        <v>185</v>
      </c>
      <c r="V19" s="134">
        <f t="shared" si="18"/>
        <v>333</v>
      </c>
      <c r="W19" s="134">
        <f t="shared" si="18"/>
        <v>47</v>
      </c>
      <c r="X19" s="134">
        <f t="shared" si="18"/>
        <v>77</v>
      </c>
      <c r="Y19" s="134">
        <f t="shared" si="18"/>
        <v>3</v>
      </c>
      <c r="Z19" s="134">
        <f t="shared" si="18"/>
        <v>31</v>
      </c>
      <c r="AA19" s="134">
        <f t="shared" si="18"/>
        <v>2</v>
      </c>
      <c r="AB19" s="134">
        <f t="shared" si="18"/>
        <v>32</v>
      </c>
      <c r="AC19" s="134">
        <f t="shared" si="18"/>
        <v>0</v>
      </c>
      <c r="AD19" s="134">
        <f t="shared" si="18"/>
        <v>0</v>
      </c>
      <c r="AE19" s="134">
        <f t="shared" si="18"/>
        <v>0</v>
      </c>
      <c r="AF19" s="134">
        <f t="shared" si="18"/>
        <v>0</v>
      </c>
      <c r="AG19" s="134">
        <f t="shared" si="18"/>
        <v>5</v>
      </c>
      <c r="AH19" s="134">
        <f t="shared" si="18"/>
        <v>3</v>
      </c>
      <c r="AI19" s="134">
        <f t="shared" si="18"/>
        <v>7</v>
      </c>
      <c r="AJ19" s="134">
        <f t="shared" si="18"/>
        <v>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335</v>
      </c>
      <c r="AZ19" s="134">
        <f>SUBTOTAL(9,AZ9:AZ18)</f>
        <v>187</v>
      </c>
      <c r="BA19" s="134">
        <f>SUBTOTAL(9,BA9:BA18)</f>
        <v>192</v>
      </c>
      <c r="BB19" s="134">
        <f>SUBTOTAL(9,BB9:BB18)</f>
        <v>334</v>
      </c>
      <c r="BC19" s="135">
        <f>SUBTOTAL(9,BC9:BC18)</f>
        <v>22</v>
      </c>
      <c r="BD19" s="213">
        <f>IF(ISNUMBER(BA19/AZ19),BA19/AZ19," - ")</f>
        <v>1.0267379679144386</v>
      </c>
      <c r="BE19" s="210">
        <f>IF(ISNUMBER(BB19/BA19),BB19/BA19, " - ")</f>
        <v>1.7395833333333333</v>
      </c>
      <c r="BF19" s="210">
        <f>IF(ISNUMBER(BC19/BA19),BC19/BA19, " - ")</f>
        <v>0.11458333333333333</v>
      </c>
      <c r="BG19" s="135">
        <f>IF(ISNUMBER((AY19+AZ19)/BA19),(AY19+AZ19)/BA19," - ")</f>
        <v>2.71875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Glb8qzZ0yYPcH5lw8vHktOCdW2VwT56Sgf3v7DX/Qx0fh4l1cDjatzkrdspm1nnrDWwcOeN2GTAAEmQudxhYg==" saltValue="t/k2B/crH/rX46d130/Fw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aECIYsKkctJ38/ebXYp/yaOjSXlxKcpMEyhmD7wxJ1cW9t+HPoMcTjpNJC8IMisrQRW/rALaTWXuF9jdN38CQ==" saltValue="ekDwoxR/ugjhHcRbMK+i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PUEBLA DE SANABRIA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31</v>
      </c>
      <c r="O12" s="334"/>
      <c r="P12" s="334"/>
      <c r="Q12" s="226">
        <f>IF(ISNUMBER(Datos!P12),Datos!P12,0)</f>
        <v>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293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v>
      </c>
      <c r="BD12" s="229">
        <f>IF(ISNUMBER(Datos!N12),Datos!N12," - ")</f>
        <v>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0.75728155339805825</v>
      </c>
      <c r="BH12" s="260">
        <f>IF(ISNUMBER(((IF(J_V="SI",Datos!L12/Datos!K12,(Datos!L12+Datos!AB12)/(Datos!K12+Datos!AA12)))*11)/factor_trimestre),((IF(J_V="SI",Datos!L12/Datos!K12,(Datos!L12+Datos!AB12)/(Datos!K12+Datos!AA12)))*11)/factor_trimestre," - ")</f>
        <v>7.6538461538461533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1.7361111111111112E-2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31</v>
      </c>
      <c r="O13" s="900">
        <f t="shared" si="0"/>
        <v>0</v>
      </c>
      <c r="P13" s="900">
        <f t="shared" si="0"/>
        <v>0</v>
      </c>
      <c r="Q13" s="899">
        <f t="shared" si="0"/>
        <v>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12</v>
      </c>
      <c r="AD13" s="899">
        <f t="shared" si="1"/>
        <v>0</v>
      </c>
      <c r="AE13" s="899">
        <f t="shared" si="1"/>
        <v>0</v>
      </c>
      <c r="AF13" s="899">
        <f t="shared" si="1"/>
        <v>1</v>
      </c>
      <c r="AG13" s="899">
        <f t="shared" si="1"/>
        <v>0</v>
      </c>
      <c r="AH13" s="899">
        <f t="shared" si="1"/>
        <v>32</v>
      </c>
      <c r="AI13" s="899">
        <f t="shared" si="1"/>
        <v>0</v>
      </c>
      <c r="AJ13" s="899">
        <f t="shared" si="1"/>
        <v>0</v>
      </c>
      <c r="AK13" s="899">
        <f t="shared" si="1"/>
        <v>0</v>
      </c>
      <c r="AL13" s="899">
        <f t="shared" si="1"/>
        <v>0</v>
      </c>
      <c r="AM13" s="899">
        <f t="shared" si="1"/>
        <v>293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v>
      </c>
      <c r="BD13" s="899">
        <f t="shared" si="1"/>
        <v>19</v>
      </c>
      <c r="BE13" s="899">
        <f t="shared" si="1"/>
        <v>0</v>
      </c>
      <c r="BF13" s="899">
        <f t="shared" si="1"/>
        <v>0</v>
      </c>
      <c r="BG13" s="899">
        <f>IF(ISNUMBER(Datos!K13/Datos!J13),Datos!K13/Datos!J13," - ")</f>
        <v>1.0410958904109588</v>
      </c>
      <c r="BH13" s="903">
        <f>IF(ISNUMBER(((Datos!L13/Datos!K13)*11)/factor_trimestre),((Datos!L13/Datos!K13)*11)/factor_trimestre," - ")</f>
        <v>6.6315789473684221</v>
      </c>
      <c r="BI13" s="899">
        <f>IF(ISNUMBER('Resol  Asuntos'!D13/NºAsuntos!G13),'Resol  Asuntos'!D13/NºAsuntos!G13," - ")</f>
        <v>0.34615384615384615</v>
      </c>
      <c r="BJ13" s="899" t="str">
        <f>IF(ISNUMBER(Datos!CI13/Datos!CJ13),Datos!CI13/Datos!CJ13," - ")</f>
        <v xml:space="preserve"> - </v>
      </c>
      <c r="BK13" s="899">
        <f>SUBTOTAL(9,BK8:BK12)</f>
        <v>0</v>
      </c>
      <c r="BL13" s="899" t="str">
        <f>IF(ISNUMBER((I13-AB13+L13)/(F13)),(I13-AB13+L13)/(F13)," - ")</f>
        <v xml:space="preserve"> - </v>
      </c>
      <c r="BM13" s="904">
        <f>SUBTOTAL(9,BM9:BM12)</f>
        <v>1.7361111111111112E-2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133</v>
      </c>
      <c r="G16" s="598">
        <f>IF(ISNUMBER(IF(D_I="SI",Datos!I16,Datos!I16+Datos!AC16)),IF(D_I="SI",Datos!I16,Datos!I16+Datos!AC16)," - ")</f>
        <v>133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162</v>
      </c>
      <c r="AC16" s="226">
        <f>IF(ISNUMBER(Datos!Q16),Datos!Q16," - ")</f>
        <v>1</v>
      </c>
      <c r="AD16" s="334"/>
      <c r="AE16" s="484"/>
      <c r="AF16" s="596">
        <f>IF(ISNUMBER(IF(D_I="SI",Datos!L16,Datos!L16+Datos!AF16)),IF(D_I="SI",Datos!L16,Datos!L16+Datos!AF16)," - ")</f>
        <v>103</v>
      </c>
      <c r="AG16" s="334"/>
      <c r="AH16" s="334"/>
      <c r="AI16" s="334"/>
      <c r="AJ16" s="334"/>
      <c r="AK16" s="334"/>
      <c r="AL16" s="479"/>
      <c r="AM16" s="335">
        <f>IF(ISNUMBER(Datos!R16),Datos!R16," - ")</f>
        <v>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v>
      </c>
      <c r="BD16" s="229">
        <f>IF(ISNUMBER(Datos!N16),Datos!N16," - ")</f>
        <v>64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1.2272727272727273</v>
      </c>
      <c r="BH16" s="260">
        <f>IF(ISNUMBER(((IF(D_I="SI",Datos!L16/Datos!K16,(Datos!L16+Datos!AF16)/(Datos!K16+Datos!AE16)))*11)/factor_trimestre),((IF(D_I="SI",Datos!L16/Datos!K16,(Datos!L16+Datos!AF16)/(Datos!K16+Datos!AE16)))*11)/factor_trimestre," - ")</f>
        <v>1.9074074074074077</v>
      </c>
      <c r="BI16" s="243">
        <f>IF(ISNUMBER('Resol  Asuntos'!D16/NºAsuntos!G16),'Resol  Asuntos'!D16/NºAsuntos!G16," - ")</f>
        <v>0.15432098765432098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0.8571428571428571</v>
      </c>
      <c r="BH17" s="260">
        <f>IF(ISNUMBER(((IF(D_I="SI",Datos!L17/Datos!K17,(Datos!L17+Datos!AF17)/(Datos!K17+Datos!AE17)))*11)/factor_trimestre),((IF(D_I="SI",Datos!L17/Datos!K17,(Datos!L17+Datos!AF17)/(Datos!K17+Datos!AE17)))*11)/factor_trimestre," - ")</f>
        <v>3</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133</v>
      </c>
      <c r="G18" s="898">
        <f>SUBTOTAL(9,G15:G17)</f>
        <v>138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168</v>
      </c>
      <c r="AC18" s="899">
        <f t="shared" si="4"/>
        <v>1</v>
      </c>
      <c r="AD18" s="899">
        <f t="shared" si="4"/>
        <v>0</v>
      </c>
      <c r="AE18" s="899">
        <f t="shared" si="4"/>
        <v>0</v>
      </c>
      <c r="AF18" s="899">
        <f t="shared" si="4"/>
        <v>109</v>
      </c>
      <c r="AG18" s="899">
        <f t="shared" si="4"/>
        <v>0</v>
      </c>
      <c r="AH18" s="899">
        <f t="shared" si="4"/>
        <v>0</v>
      </c>
      <c r="AI18" s="899">
        <f t="shared" si="4"/>
        <v>0</v>
      </c>
      <c r="AJ18" s="899">
        <f t="shared" si="4"/>
        <v>0</v>
      </c>
      <c r="AK18" s="899">
        <f t="shared" si="4"/>
        <v>0</v>
      </c>
      <c r="AL18" s="899">
        <f t="shared" si="4"/>
        <v>0</v>
      </c>
      <c r="AM18" s="899">
        <f t="shared" si="4"/>
        <v>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v>
      </c>
      <c r="BD18" s="899">
        <f t="shared" si="4"/>
        <v>72</v>
      </c>
      <c r="BE18" s="899">
        <f t="shared" si="4"/>
        <v>0</v>
      </c>
      <c r="BF18" s="899">
        <f t="shared" si="4"/>
        <v>0</v>
      </c>
      <c r="BG18" s="899">
        <f>IF(ISNUMBER(Datos!K18/Datos!J18),Datos!K18/Datos!J18," - ")</f>
        <v>1.2086330935251799</v>
      </c>
      <c r="BH18" s="903">
        <f>IF(ISNUMBER(((Datos!L18/Datos!K18)*11)/factor_trimestre),((Datos!L18/Datos!K18)*11)/factor_trimestre," - ")</f>
        <v>1.9464285714285714</v>
      </c>
      <c r="BI18" s="899">
        <f>SUBTOTAL(9,BI15:BI17)</f>
        <v>0.48765432098765427</v>
      </c>
      <c r="BJ18" s="899">
        <f>SUBTOTAL(9,BJ15:BJ17)</f>
        <v>0</v>
      </c>
      <c r="BK18" s="899">
        <f>SUBTOTAL(9,BK15:BK17)</f>
        <v>0</v>
      </c>
      <c r="BL18" s="899">
        <f>IF(ISNUMBER((I18-AB18+L18)/(F18)),(I18-AB18+L18)/(F18)," - ")</f>
        <v>-1.263157894736842</v>
      </c>
      <c r="BM18" s="905">
        <f>IF(ISNUMBER((Datos!P18-Datos!Q18)/(Datos!R18-Datos!P18+Datos!Q18)),(Datos!P18-Datos!Q18)/(Datos!R18-Datos!P18+Datos!Q18)," - ")</f>
        <v>5.8823529411764705E-2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133</v>
      </c>
      <c r="G19" s="820">
        <f t="shared" si="6"/>
        <v>138</v>
      </c>
      <c r="H19" s="822">
        <f t="shared" si="6"/>
        <v>0</v>
      </c>
      <c r="I19" s="820">
        <f t="shared" si="6"/>
        <v>0</v>
      </c>
      <c r="J19" s="822">
        <f t="shared" si="6"/>
        <v>0</v>
      </c>
      <c r="K19" s="822">
        <f t="shared" si="6"/>
        <v>0</v>
      </c>
      <c r="L19" s="881">
        <f t="shared" si="6"/>
        <v>0</v>
      </c>
      <c r="M19" s="881">
        <f t="shared" si="6"/>
        <v>0</v>
      </c>
      <c r="N19" s="881">
        <f t="shared" si="6"/>
        <v>31</v>
      </c>
      <c r="O19" s="881">
        <f t="shared" si="6"/>
        <v>0</v>
      </c>
      <c r="P19" s="881">
        <f t="shared" si="6"/>
        <v>0</v>
      </c>
      <c r="Q19" s="822">
        <f t="shared" si="6"/>
        <v>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168</v>
      </c>
      <c r="AC19" s="821">
        <f t="shared" si="7"/>
        <v>13</v>
      </c>
      <c r="AD19" s="821">
        <f t="shared" si="7"/>
        <v>0</v>
      </c>
      <c r="AE19" s="821">
        <f t="shared" si="7"/>
        <v>0</v>
      </c>
      <c r="AF19" s="828">
        <f t="shared" si="7"/>
        <v>110</v>
      </c>
      <c r="AG19" s="828">
        <f t="shared" si="7"/>
        <v>0</v>
      </c>
      <c r="AH19" s="828">
        <f t="shared" si="7"/>
        <v>32</v>
      </c>
      <c r="AI19" s="828">
        <f t="shared" si="7"/>
        <v>0</v>
      </c>
      <c r="AJ19" s="821">
        <f t="shared" si="7"/>
        <v>0</v>
      </c>
      <c r="AK19" s="828">
        <f t="shared" si="7"/>
        <v>0</v>
      </c>
      <c r="AL19" s="828">
        <f t="shared" si="7"/>
        <v>0</v>
      </c>
      <c r="AM19" s="828">
        <f t="shared" si="7"/>
        <v>329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v>
      </c>
      <c r="BD19" s="820">
        <f t="shared" si="7"/>
        <v>91</v>
      </c>
      <c r="BE19" s="820">
        <f t="shared" si="7"/>
        <v>0</v>
      </c>
      <c r="BF19" s="830">
        <f t="shared" si="7"/>
        <v>0</v>
      </c>
      <c r="BG19" s="915">
        <f>IF(ISNUMBER(Datos!K19/Datos!J19),Datos!K19/Datos!J19," - ")</f>
        <v>1.1509433962264151</v>
      </c>
      <c r="BH19" s="915">
        <f>IF(ISNUMBER(((Datos!L19/Datos!K19)*11)/factor_trimestre),((Datos!L19/Datos!K19)*11)/factor_trimestre," - ")</f>
        <v>3.4057377049180335</v>
      </c>
      <c r="BI19" s="813">
        <f>IF(ISNUMBER(Datos!J19/Datos!I19),Datos!J19/Datos!I19," - ")</f>
        <v>0.68608414239482196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-1.263157894736842</v>
      </c>
      <c r="BM19" s="889">
        <f>IF(ISNUMBER((Datos!P19-Datos!Q19+R19)/(Datos!R19-Datos!P19+Datos!Q19-R19)),(Datos!P19-Datos!Q19+R19)/(Datos!R19-Datos!P19+Datos!Q19-R19)," - ")</f>
        <v>2.1739130434782608E-2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76.787585802220221</v>
      </c>
      <c r="G21" s="552">
        <f>IF(ISNUMBER(STDEV(G8:G18)),STDEV(G8:G18),"-")</f>
        <v>73.353254869842004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89.337562088966806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13.206059215375342</v>
      </c>
      <c r="BD21" s="551"/>
      <c r="BE21" s="551">
        <f>IF(ISNUMBER(STDEV(BE8:BE18)),STDEV(BE8:BE18),"-")</f>
        <v>0</v>
      </c>
      <c r="BF21" s="556">
        <f>IF(ISNUMBER(STDEV(BF8:BF18)),STDEV(BF8:BF18),"-")</f>
        <v>0</v>
      </c>
      <c r="BG21" s="775">
        <f>IF(ISNUMBER(STDEV(BG8:BG18)),STDEV(BG8:BG18),"-")</f>
        <v>0.4557643085406311</v>
      </c>
      <c r="BH21" s="776">
        <f>IF(ISNUMBER(STDEV(BH8:BH18)),STDEV(BH8:BH18),"-")</f>
        <v>2.7208599597059249</v>
      </c>
      <c r="BI21" s="249">
        <f>IF(ISNUMBER(STDEV(BI8:BI18)),STDEV(BI8:BI18),"-")</f>
        <v>0.13661322952484359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w/3KpQzbW4XDjeXeSyQPihc23YVT96MhVzAruS9BwvBLgp6GViZhtlQlIO/8WddTpKvvLcAa7Eq1nXsIh93CGw==" saltValue="PairW+KwHvzS7CtkytsuT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PUEBLA DE SANABRIA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v>
      </c>
      <c r="AA12" s="332" t="str">
        <f>IF(ISNUMBER(IF(J_V="SI",Datos!L12,Datos!L12+Datos!AB12)-IF(Monitorios="SI",Datos!CD12,0)),
                          IF(J_V="SI",Datos!L12,Datos!L12+Datos!AB12)-IF(Monitorios="SI",Datos!CD12,0),
                          " - ")</f>
        <v xml:space="preserve"> - </v>
      </c>
      <c r="AB12" s="334"/>
      <c r="AC12" s="334"/>
      <c r="AD12" s="484"/>
      <c r="AE12" s="484">
        <f>IF(ISNUMBER(Datos!R12),Datos!R12," - ")</f>
        <v>293</v>
      </c>
      <c r="AF12" s="229" t="str">
        <f>IF(ISNUMBER(Datos!BV12),Datos!BV12," - ")</f>
        <v xml:space="preserve"> - </v>
      </c>
      <c r="AG12" s="225" t="str">
        <f>IF(ISNUMBER(Datos!DV12),Datos!DV12," - ")</f>
        <v xml:space="preserve"> - </v>
      </c>
      <c r="AH12" s="298"/>
      <c r="AI12" s="227"/>
      <c r="AJ12" s="225">
        <f>IF(ISNUMBER(Datos!M12),Datos!M12," - ")</f>
        <v>27</v>
      </c>
      <c r="AK12" s="229">
        <f>IF(ISNUMBER(Datos!N12),Datos!N12," - ")</f>
        <v>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7.6538461538461533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1.7361111111111112E-2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12</v>
      </c>
      <c r="AA13" s="900">
        <f t="shared" si="2"/>
        <v>1</v>
      </c>
      <c r="AB13" s="900">
        <f t="shared" si="2"/>
        <v>0</v>
      </c>
      <c r="AC13" s="900">
        <f t="shared" si="2"/>
        <v>0</v>
      </c>
      <c r="AD13" s="900">
        <f t="shared" si="2"/>
        <v>0</v>
      </c>
      <c r="AE13" s="900">
        <f t="shared" si="2"/>
        <v>293</v>
      </c>
      <c r="AF13" s="908">
        <f t="shared" si="2"/>
        <v>0</v>
      </c>
      <c r="AG13" s="908">
        <f t="shared" si="2"/>
        <v>0</v>
      </c>
      <c r="AH13" s="908">
        <f t="shared" si="2"/>
        <v>0</v>
      </c>
      <c r="AI13" s="908">
        <f t="shared" si="2"/>
        <v>0</v>
      </c>
      <c r="AJ13" s="908">
        <f t="shared" si="2"/>
        <v>27</v>
      </c>
      <c r="AK13" s="908">
        <f t="shared" si="2"/>
        <v>19</v>
      </c>
      <c r="AL13" s="908">
        <f t="shared" si="2"/>
        <v>0</v>
      </c>
      <c r="AM13" s="908">
        <f t="shared" si="2"/>
        <v>0</v>
      </c>
      <c r="AN13" s="908">
        <f t="shared" si="2"/>
        <v>0</v>
      </c>
      <c r="AO13" s="904">
        <f>IF(ISNUMBER(((NºAsuntos!I13/NºAsuntos!G13)*11)/factor_trimestre),((NºAsuntos!I13/NºAsuntos!G13)*11)/factor_trimestre," - ")</f>
        <v>7.6923076923076934</v>
      </c>
      <c r="AP13" s="910" t="str">
        <f>IF(ISNUMBER(Datos!CI13/Datos!CJ13),Datos!CI13/Datos!CJ13," - ")</f>
        <v xml:space="preserve"> - </v>
      </c>
      <c r="AQ13" s="928">
        <f t="shared" ref="AQ13:AV13" si="3">SUBTOTAL(9,AQ9:AQ12)</f>
        <v>0</v>
      </c>
      <c r="AR13" s="928">
        <f t="shared" si="3"/>
        <v>1.7361111111111112E-2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133</v>
      </c>
      <c r="G16" s="225">
        <f>IF(ISNUMBER(IF(D_I="SI",Datos!I16,Datos!I16+Datos!AC16)),IF(D_I="SI",Datos!I16,Datos!I16+Datos!AC16)," - ")</f>
        <v>133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162</v>
      </c>
      <c r="Z16" s="619">
        <f>IF(ISNUMBER(Datos!Q16),Datos!Q16," - ")</f>
        <v>1</v>
      </c>
      <c r="AA16" s="332">
        <f>IF(ISNUMBER(IF(D_I="SI",Datos!L16,Datos!L16+Datos!AF16)),IF(D_I="SI",Datos!L16,Datos!L16+Datos!AF16)," - ")</f>
        <v>103</v>
      </c>
      <c r="AB16" s="334"/>
      <c r="AC16" s="334"/>
      <c r="AD16" s="484"/>
      <c r="AE16" s="484">
        <f>IF(ISNUMBER(Datos!R16),Datos!R16," - ")</f>
        <v>36</v>
      </c>
      <c r="AF16" s="229" t="str">
        <f>IF(ISNUMBER(Datos!BV16),Datos!BV16," - ")</f>
        <v xml:space="preserve"> - </v>
      </c>
      <c r="AG16" s="225"/>
      <c r="AH16" s="298"/>
      <c r="AI16" s="227"/>
      <c r="AJ16" s="225">
        <f>IF(ISNUMBER(Datos!M16),Datos!M16," - ")</f>
        <v>25</v>
      </c>
      <c r="AK16" s="229">
        <f>IF(ISNUMBER(Datos!N16),Datos!N16," - ")</f>
        <v>64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1.9074074074074077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133</v>
      </c>
      <c r="G18" s="898">
        <f>SUBTOTAL(9,G15:G17)</f>
        <v>138</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168</v>
      </c>
      <c r="Z18" s="932">
        <f t="shared" si="5"/>
        <v>1</v>
      </c>
      <c r="AA18" s="932">
        <f t="shared" si="5"/>
        <v>109</v>
      </c>
      <c r="AB18" s="932">
        <f t="shared" si="5"/>
        <v>0</v>
      </c>
      <c r="AC18" s="932">
        <f t="shared" si="5"/>
        <v>0</v>
      </c>
      <c r="AD18" s="932">
        <f t="shared" si="5"/>
        <v>0</v>
      </c>
      <c r="AE18" s="932">
        <f t="shared" si="5"/>
        <v>36</v>
      </c>
      <c r="AF18" s="932">
        <f t="shared" si="5"/>
        <v>0</v>
      </c>
      <c r="AG18" s="932">
        <f t="shared" si="5"/>
        <v>0</v>
      </c>
      <c r="AH18" s="932">
        <f t="shared" si="5"/>
        <v>0</v>
      </c>
      <c r="AI18" s="932">
        <f t="shared" si="5"/>
        <v>0</v>
      </c>
      <c r="AJ18" s="932">
        <f t="shared" si="5"/>
        <v>27</v>
      </c>
      <c r="AK18" s="932">
        <f t="shared" si="5"/>
        <v>72</v>
      </c>
      <c r="AL18" s="932">
        <f t="shared" si="5"/>
        <v>0</v>
      </c>
      <c r="AM18" s="932">
        <f t="shared" si="5"/>
        <v>0</v>
      </c>
      <c r="AN18" s="932">
        <f t="shared" si="5"/>
        <v>0</v>
      </c>
      <c r="AO18" s="934">
        <f>IF(ISNUMBER(((NºAsuntos!I18/NºAsuntos!G18)*11)/factor_trimestre),((NºAsuntos!I18/NºAsuntos!G18)*11)/factor_trimestre," - ")</f>
        <v>1.9464285714285714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133</v>
      </c>
      <c r="G19" s="820">
        <f t="shared" si="7"/>
        <v>138</v>
      </c>
      <c r="H19" s="821">
        <f t="shared" si="7"/>
        <v>0</v>
      </c>
      <c r="I19" s="820">
        <f t="shared" si="7"/>
        <v>0</v>
      </c>
      <c r="J19" s="822">
        <f t="shared" si="7"/>
        <v>0</v>
      </c>
      <c r="K19" s="820">
        <f t="shared" si="7"/>
        <v>0</v>
      </c>
      <c r="L19" s="823">
        <f t="shared" si="7"/>
        <v>0</v>
      </c>
      <c r="M19" s="820">
        <f t="shared" si="7"/>
        <v>0</v>
      </c>
      <c r="N19" s="821">
        <f t="shared" si="7"/>
        <v>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168</v>
      </c>
      <c r="Z19" s="827">
        <f t="shared" si="8"/>
        <v>13</v>
      </c>
      <c r="AA19" s="828">
        <f t="shared" si="8"/>
        <v>110</v>
      </c>
      <c r="AB19" s="828">
        <f t="shared" si="8"/>
        <v>0</v>
      </c>
      <c r="AC19" s="828">
        <f t="shared" si="8"/>
        <v>0</v>
      </c>
      <c r="AD19" s="829">
        <f t="shared" si="8"/>
        <v>0</v>
      </c>
      <c r="AE19" s="829">
        <f t="shared" si="8"/>
        <v>329</v>
      </c>
      <c r="AF19" s="830">
        <f t="shared" si="8"/>
        <v>0</v>
      </c>
      <c r="AG19" s="831">
        <f t="shared" si="8"/>
        <v>0</v>
      </c>
      <c r="AH19" s="832">
        <f t="shared" si="8"/>
        <v>0</v>
      </c>
      <c r="AI19" s="830">
        <f t="shared" si="8"/>
        <v>0</v>
      </c>
      <c r="AJ19" s="820">
        <f t="shared" si="8"/>
        <v>54</v>
      </c>
      <c r="AK19" s="820">
        <f t="shared" si="8"/>
        <v>91</v>
      </c>
      <c r="AL19" s="820">
        <f t="shared" si="8"/>
        <v>0</v>
      </c>
      <c r="AM19" s="833">
        <f t="shared" si="8"/>
        <v>0</v>
      </c>
      <c r="AN19" s="823">
        <f>IF(ISNUMBER(Datos!K19/Datos!J19),Datos!K19/Datos!J19," - ")</f>
        <v>1.1509433962264151</v>
      </c>
      <c r="AO19" s="823">
        <f>IF(ISNUMBER(FIND("06",Criterios!A8,1)),(IF(ISNUMBER(((Datos!R19/Datos!Q19)*11)/factor_trimestre),((Datos!R19/Datos!Q19)*11)/factor_trimestre," - ")),(IF(ISNUMBER(((Datos!L19/Datos!K19)*11)/factor_trimestre),((Datos!L19/Datos!K19)*11)/factor_trimestre," - ")))</f>
        <v>3.4057377049180335</v>
      </c>
      <c r="AP19" s="834" t="str">
        <f>IF(ISNUMBER(Datos!CI19/Datos!CJ19),Datos!CI19/Datos!CJ19," - ")</f>
        <v xml:space="preserve"> - </v>
      </c>
      <c r="AQ19" s="834">
        <f>IF(OR(ISNUMBER(FIND("01",Criterios!A8,1)),ISNUMBER(FIND("02",Criterios!A8,1)),ISNUMBER(FIND("03",Criterios!A8,1)),ISNUMBER(FIND("04",Criterios!A8,1))),(J19-Y19+K19)/(F19-K19),(I19-Y19+K19)/(F19-K19))</f>
        <v>-1.263157894736842</v>
      </c>
      <c r="AR19" s="834">
        <f>IF(ISNUMBER((Datos!P19-Datos!Q19+O19)/(Datos!R19-Datos!P19+Datos!Q19-O19)),(Datos!P19-Datos!Q19+O19)/(Datos!R19-Datos!P19+Datos!Q19-O19)," - ")</f>
        <v>2.1739130434782608E-2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76.787585802220221</v>
      </c>
      <c r="G21" s="552">
        <f>IF(ISNUMBER(STDEV(G8:G18)),STDEV(G8:G18),"-")</f>
        <v>73.353254869842004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13.206059215375342</v>
      </c>
      <c r="AK21" s="252"/>
      <c r="AL21" s="252">
        <f>IF(ISNUMBER(STDEV(AL8:AL18)),STDEV(AL8:AL18),"-")</f>
        <v>0</v>
      </c>
      <c r="AM21" s="254">
        <f>IF(ISNUMBER(STDEV(AM8:AM18)),STDEV(AM8:AM18),"-")</f>
        <v>0</v>
      </c>
      <c r="AN21" s="539">
        <f>IF(ISNUMBER(STDEV(AN8:AN18)),STDEV(AN8:AN18),"-")</f>
        <v>0</v>
      </c>
      <c r="AO21" s="540">
        <f>IF(ISNUMBER(STDEV(AO8:AO18)),STDEV(AO8:AO18),"-")</f>
        <v>2.9837826720229388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HsD1AEEgPvpn19LDxrHWLN6Vn+exd1FXtONKnkGaViaSAqK41NsQrETlIdWKQShR3umsidSEP8dr9hozvnX9A==" saltValue="NxlV5hSwtXkKhkpq1htj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BjvxqrBesBHoHmW9P525PyJ0i4y+6jCxB/0xHpHb+4p41vHzYW1O1tHLmcTe26yguQo4P0hm6Dvhls3XuAU7w==" saltValue="/50yM142Rf4eSJfk0sqY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avHTHYlz6HjUtyDg9zPlvc4PKUH7uUlFm6Xri9KYvaJ5dsSHZQn1kd/lcdgW76t1z+n2xl/gFy1/OGEhQsVkQ==" saltValue="K8j4TioGcVglBCwaL301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PUEBLA DE SANABRIA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0.34615384615384615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0.24476773194918952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eqW6oclmPTt/dtLPTFYQ1njzrjmF1FF56CHawykLQ5eDDoj4qJa6MCbneHf9yhW1z+nyYG+y4IuKkiA0qbQPw==" saltValue="S62Y7X0Cb89Cpsv+u74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tg17PVPNhgGKMYvnP7/bHkxKO/gUYg5cZHytyEa4RRE2YltXgavSdUnijNzixwHnzT0Nj+qfrqnoKFAjuMlXg==" saltValue="xfI5zeOYAT9Dz+kw3OvT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PUEBLA DE SANABRIA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174</v>
      </c>
      <c r="D12" s="404">
        <f>IF(ISNUMBER(C12/Datos!BH12),C12/Datos!BH12," - ")</f>
        <v>174</v>
      </c>
      <c r="E12" s="403">
        <f>IF(ISNUMBER(IF(J_V="SI",Datos!J12,Datos!J12+Datos!Z12)),IF(J_V="SI",Datos!J12,Datos!J12+Datos!Z12)," - ")</f>
        <v>103</v>
      </c>
      <c r="F12" s="404">
        <f>IF(ISNUMBER(E12/B12),E12/B12," - ")</f>
        <v>103</v>
      </c>
      <c r="G12" s="403">
        <f>IF(ISNUMBER(IF(J_V="SI",Datos!K12,Datos!K12+Datos!AA12)),IF(J_V="SI",Datos!K12,Datos!K12+Datos!AA12)," - ")</f>
        <v>78</v>
      </c>
      <c r="H12" s="404">
        <f>IF(ISNUMBER(G12/B12),G12/B12," - ")</f>
        <v>78</v>
      </c>
      <c r="I12" s="403">
        <f>IF(ISNUMBER(IF(J_V="SI",Datos!L12,Datos!L12+Datos!AB12)),IF(J_V="SI",Datos!L12,Datos!L12+Datos!AB12)," - ")</f>
        <v>199</v>
      </c>
      <c r="J12" s="404">
        <f>IF(ISNUMBER(I12/B12),I12/B12," - ")</f>
        <v>199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174</v>
      </c>
      <c r="D13" s="850" t="str">
        <f>IF(ISNUMBER(C13/Datos!BI13),C13/Datos!BI13," - ")</f>
        <v xml:space="preserve"> - </v>
      </c>
      <c r="E13" s="849">
        <f>SUBTOTAL(9,E8:E12)</f>
        <v>104</v>
      </c>
      <c r="F13" s="850">
        <f>IF(ISNUMBER(E13/B13),E13/B13," - ")</f>
        <v>104</v>
      </c>
      <c r="G13" s="849">
        <f>SUBTOTAL(9,G8:G12)</f>
        <v>78</v>
      </c>
      <c r="H13" s="850">
        <f>IF(ISNUMBER(G13/B13),G13/B13," - ")</f>
        <v>78</v>
      </c>
      <c r="I13" s="849">
        <f>SUBTOTAL(9,I8:I12)</f>
        <v>200</v>
      </c>
      <c r="J13" s="850">
        <f>IF(ISNUMBER(I13/B13),I13/B13," - ")</f>
        <v>200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133</v>
      </c>
      <c r="D16" s="404">
        <f>IF(ISNUMBER(C16/Datos!BH16),C16/Datos!BH16," - ")</f>
        <v>133</v>
      </c>
      <c r="E16" s="403">
        <f>IF(ISNUMBER(IF(D_I="SI",Datos!J16,Datos!J16+Datos!AD16)),IF(D_I="SI",Datos!J16,Datos!J16+Datos!AD16)," - ")</f>
        <v>132</v>
      </c>
      <c r="F16" s="404">
        <f>IF(ISNUMBER(E16/B16),E16/B16," - ")</f>
        <v>132</v>
      </c>
      <c r="G16" s="403">
        <f>IF(ISNUMBER(IF(D_I="SI",Datos!K16,Datos!K16+Datos!AE16)),IF(D_I="SI",Datos!K16,Datos!K16+Datos!AE16)," - ")</f>
        <v>162</v>
      </c>
      <c r="H16" s="404">
        <f>IF(ISNUMBER(G16/B16),G16/B16," - ")</f>
        <v>162</v>
      </c>
      <c r="I16" s="403">
        <f>IF(ISNUMBER(IF(D_I="SI",Datos!L16,Datos!L16+Datos!AF16)),IF(D_I="SI",Datos!L16,Datos!L16+Datos!AF16)," - ")</f>
        <v>103</v>
      </c>
      <c r="J16" s="404">
        <f>IF(ISNUMBER(I16/B16),I16/B16," - ")</f>
        <v>103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7</v>
      </c>
      <c r="F17" s="404">
        <f>IF(ISNUMBER(E17/B17),E17/B17," - ")</f>
        <v>7</v>
      </c>
      <c r="G17" s="403">
        <f>IF(ISNUMBER(IF(D_I="SI",Datos!K17,Datos!K17+Datos!AE17)),IF(D_I="SI",Datos!K17,Datos!K17+Datos!AE17)," - ")</f>
        <v>6</v>
      </c>
      <c r="H17" s="404">
        <f>IF(ISNUMBER(G17/B17),G17/B17," - ")</f>
        <v>6</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138</v>
      </c>
      <c r="D18" s="850" t="str">
        <f>IF(ISNUMBER(C18/Datos!BI18),C18/Datos!BI18," - ")</f>
        <v xml:space="preserve"> - </v>
      </c>
      <c r="E18" s="849">
        <f>SUBTOTAL(9,E14:E17)</f>
        <v>139</v>
      </c>
      <c r="F18" s="850">
        <f>IF(ISNUMBER(E18/B18),E18/B18," - ")</f>
        <v>139</v>
      </c>
      <c r="G18" s="849">
        <f>SUBTOTAL(9,G14:G17)</f>
        <v>168</v>
      </c>
      <c r="H18" s="850">
        <f>IF(ISNUMBER(G18/B18),G18/B18," - ")</f>
        <v>168</v>
      </c>
      <c r="I18" s="849">
        <f>SUBTOTAL(9,I14:I17)</f>
        <v>109</v>
      </c>
      <c r="J18" s="850">
        <f>IF(ISNUMBER(I18/B18),I18/B18," - ")</f>
        <v>109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312</v>
      </c>
      <c r="D19" s="795" t="str">
        <f>IF(ISNUMBER(C19/Datos!BI19),C19/Datos!BI19," - ")</f>
        <v xml:space="preserve"> - </v>
      </c>
      <c r="E19" s="794">
        <f>SUBTOTAL(9,E9:E18)</f>
        <v>243</v>
      </c>
      <c r="F19" s="795">
        <f>IF(ISNUMBER(E19/B19),E19/B19," - ")</f>
        <v>243</v>
      </c>
      <c r="G19" s="794">
        <f>SUBTOTAL(9,G9:G18)</f>
        <v>246</v>
      </c>
      <c r="H19" s="795">
        <f>IF(ISNUMBER(G19/B19),G19/B19," - ")</f>
        <v>246</v>
      </c>
      <c r="I19" s="794">
        <f>SUBTOTAL(9,I9:I18)</f>
        <v>309</v>
      </c>
      <c r="J19" s="795">
        <f>IF(ISNUMBER(I19/B19),I19/B19," - ")</f>
        <v>309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cj6+u3WTIqZ4XzioS6BAul5QXHLsedS4Vy4Mzi0jGEnBW3nNAwA1VzRiXv7pSUMZnUmUs9XjrJIZxvXJ7HriCw==" saltValue="M7xa0Lg1WzTpmKe10XZy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PUEBLA DE SANABRIA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v>
      </c>
      <c r="AM12" s="690">
        <f>IF(ISNUMBER(Datos!N12+DatosP!N16),Datos!N12+DatosP!N16," - ")</f>
        <v>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7.6538461538461533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1.7361111111111112E-2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12</v>
      </c>
      <c r="AE13" s="939">
        <f t="shared" si="1"/>
        <v>0</v>
      </c>
      <c r="AF13" s="939">
        <f t="shared" si="1"/>
        <v>1</v>
      </c>
      <c r="AG13" s="939">
        <f t="shared" si="1"/>
        <v>0</v>
      </c>
      <c r="AH13" s="939">
        <f t="shared" si="1"/>
        <v>293</v>
      </c>
      <c r="AI13" s="939">
        <f t="shared" si="1"/>
        <v>0</v>
      </c>
      <c r="AJ13" s="939">
        <f t="shared" si="1"/>
        <v>0</v>
      </c>
      <c r="AK13" s="939">
        <f t="shared" si="1"/>
        <v>0</v>
      </c>
      <c r="AL13" s="939">
        <f t="shared" si="1"/>
        <v>27</v>
      </c>
      <c r="AM13" s="939">
        <f t="shared" si="1"/>
        <v>19</v>
      </c>
      <c r="AN13" s="939">
        <f t="shared" si="1"/>
        <v>0</v>
      </c>
      <c r="AO13" s="939">
        <f t="shared" si="1"/>
        <v>0</v>
      </c>
      <c r="AP13" s="944">
        <f>IF(ISNUMBER(((Datos!L13/Datos!K13)*11)/factor_trimestre),((Datos!L13/Datos!K13)*11)/factor_trimestre," - ")</f>
        <v>6.6315789473684221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1.7361111111111112E-2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1.9464285714285714</v>
      </c>
      <c r="AQ18" s="944">
        <f>IF(ISNUMBER(((Datos!M18/Datos!L18)*11)/factor_trimestre),((Datos!M18/Datos!L18)*11)/factor_trimestre," - ")</f>
        <v>0.74311926605504597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5.8823529411764705E-2</v>
      </c>
      <c r="AW18" s="946">
        <f>IF(ISNUMBER((Datos!Q18-Datos!R18)/(Datos!S18-Datos!Q18+Datos!R18)),(Datos!Q18-Datos!R18)/(Datos!S18-Datos!Q18+Datos!R18)," - ")</f>
        <v>-0.14767932489451477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12</v>
      </c>
      <c r="AE19" s="957">
        <f t="shared" si="5"/>
        <v>0</v>
      </c>
      <c r="AF19" s="958">
        <f t="shared" si="5"/>
        <v>1</v>
      </c>
      <c r="AG19" s="958">
        <f t="shared" si="5"/>
        <v>0</v>
      </c>
      <c r="AH19" s="958">
        <f t="shared" si="5"/>
        <v>293</v>
      </c>
      <c r="AI19" s="958">
        <f t="shared" si="5"/>
        <v>0</v>
      </c>
      <c r="AJ19" s="959">
        <f t="shared" si="5"/>
        <v>0</v>
      </c>
      <c r="AK19" s="959">
        <f t="shared" si="5"/>
        <v>0</v>
      </c>
      <c r="AL19" s="951">
        <f t="shared" si="5"/>
        <v>27</v>
      </c>
      <c r="AM19" s="951">
        <f t="shared" si="5"/>
        <v>19</v>
      </c>
      <c r="AN19" s="951">
        <f t="shared" si="5"/>
        <v>0</v>
      </c>
      <c r="AO19" s="951">
        <f t="shared" si="5"/>
        <v>0</v>
      </c>
      <c r="AP19" s="951">
        <f>IF(ISNUMBER(((Datos!L19/Datos!K19)*11)/factor_trimestre),((Datos!L19/Datos!K19)*11)/factor_trimestre," - ")</f>
        <v>3.4057377049180335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2.1739130434782608E-2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3.0433063091178321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TiEkaMrqpOBKYvq307u9UFQl1FUKRf3lTRDT5pMyzqzX036pVMD09GpK3uEAa/6lSesiaKcRkdKBwxbOXNsfkw==" saltValue="ngRdUKiPnYacBgr8Tl3vA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PUEBLA DE SANABRIA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ZKBYP9+TPUNtVFnoKYodM7WhdesQDiLf7sy82DY1MDkPhA5xQ1fUMyW1wv5aVbRrt2X0LmRRh8wgFpgcfwqL3A==" saltValue="EAmeRvcC9AXj5fRD3B4C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PUEBLA DE SANABRIA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27</v>
      </c>
      <c r="E12" s="404">
        <f t="shared" si="0"/>
        <v>27</v>
      </c>
      <c r="F12" s="403">
        <f>IF(ISNUMBER(Datos!N12),Datos!N12," - ")</f>
        <v>19</v>
      </c>
      <c r="G12" s="404">
        <f t="shared" si="1"/>
        <v>19</v>
      </c>
      <c r="H12" s="403">
        <f>IF(ISNUMBER(Datos!O12),Datos!O12," - ")</f>
        <v>32</v>
      </c>
      <c r="I12" s="404">
        <f t="shared" si="2"/>
        <v>32</v>
      </c>
      <c r="BZ12" s="1186">
        <f>Datos!EZ12</f>
        <v>0</v>
      </c>
    </row>
    <row r="13" spans="1:78" ht="14.25" thickTop="1" thickBot="1">
      <c r="A13" s="848" t="str">
        <f>Datos!A13</f>
        <v>TOTAL</v>
      </c>
      <c r="B13" s="849">
        <f>Datos!AP13</f>
        <v>1</v>
      </c>
      <c r="C13" s="851">
        <f>Datos!AR13</f>
        <v>1</v>
      </c>
      <c r="D13" s="849">
        <f>SUBTOTAL(9,D9:D12)</f>
        <v>27</v>
      </c>
      <c r="E13" s="850">
        <f t="shared" si="0"/>
        <v>27</v>
      </c>
      <c r="F13" s="849">
        <f>SUBTOTAL(9,F9:F12)</f>
        <v>19</v>
      </c>
      <c r="G13" s="850">
        <f t="shared" si="1"/>
        <v>19</v>
      </c>
      <c r="H13" s="849">
        <f>SUBTOTAL(9,H9:H12)</f>
        <v>32</v>
      </c>
      <c r="I13" s="850">
        <f>IF(ISNUMBER(H13/B13),H13/B13," - ")</f>
        <v>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25</v>
      </c>
      <c r="E16" s="404">
        <f t="shared" si="3"/>
        <v>25</v>
      </c>
      <c r="F16" s="403">
        <f>IF(ISNUMBER(Datos!N16),Datos!N16," - ")</f>
        <v>64</v>
      </c>
      <c r="G16" s="404">
        <f t="shared" si="4"/>
        <v>64</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27</v>
      </c>
      <c r="E18" s="850">
        <f t="shared" si="3"/>
        <v>27</v>
      </c>
      <c r="F18" s="849">
        <f>SUBTOTAL(9,F15:F17)</f>
        <v>72</v>
      </c>
      <c r="G18" s="850">
        <f t="shared" si="4"/>
        <v>72</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54</v>
      </c>
      <c r="E19" s="795">
        <f>IF(ISNUMBER(D19/B19),D19/B19," - ")</f>
        <v>54</v>
      </c>
      <c r="F19" s="794">
        <f>SUBTOTAL(9,F8:F18)</f>
        <v>91</v>
      </c>
      <c r="G19" s="795">
        <f>IF(ISNUMBER(F19/B19),F19/B19," - ")</f>
        <v>91</v>
      </c>
      <c r="H19" s="794">
        <f>SUBTOTAL(9,H8:H18)</f>
        <v>33</v>
      </c>
      <c r="I19" s="795">
        <f>IF(ISNUMBER(H19/B19),H19/B19," - ")</f>
        <v>33</v>
      </c>
    </row>
    <row r="22" spans="1:78">
      <c r="A22" s="391" t="str">
        <f>Criterios!A4</f>
        <v>Fecha Informe: 24 sep. 2024</v>
      </c>
    </row>
    <row r="27" spans="1:78">
      <c r="A27" s="414"/>
    </row>
  </sheetData>
  <sheetProtection algorithmName="SHA-512" hashValue="Wk+z2h7q0dhQEipkX1yasV7lNAtzVWEbttWjBGNCVtnrbS++CJih7I1o/GXqSAMmt4s6SR4g2hlgafN/irNCuQ==" saltValue="+0RR1iWkA+WVMdSZHsBY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PUEBLA DE SANABRIA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v>
      </c>
      <c r="C12" s="434">
        <f>IF(ISNUMBER(Datos!Q12),Datos!Q12," - ")</f>
        <v>12</v>
      </c>
      <c r="D12" s="408">
        <f>IF(ISNUMBER(Datos!R12),Datos!R12," - ")</f>
        <v>293</v>
      </c>
    </row>
    <row r="13" spans="1:4" ht="14.25" thickTop="1" thickBot="1">
      <c r="A13" s="848" t="str">
        <f>Datos!A13</f>
        <v>TOTAL</v>
      </c>
      <c r="B13" s="849">
        <f>SUBTOTAL(9,B9:B12)</f>
        <v>17</v>
      </c>
      <c r="C13" s="853">
        <f>SUBTOTAL(9,C9:C12)</f>
        <v>12</v>
      </c>
      <c r="D13" s="851">
        <f>SUBTOTAL(9,D9:D12)</f>
        <v>293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1</v>
      </c>
      <c r="D16" s="408">
        <f>IF(ISNUMBER(Datos!R16),Datos!R16," - ")</f>
        <v>36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1</v>
      </c>
      <c r="D18" s="851">
        <f>SUBTOTAL(9,D15:D17)</f>
        <v>36</v>
      </c>
    </row>
    <row r="19" spans="1:4" ht="16.5" customHeight="1" thickTop="1" thickBot="1">
      <c r="A19" s="793" t="str">
        <f>Datos!A19</f>
        <v>TOTAL JURISDICCIONES</v>
      </c>
      <c r="B19" s="798">
        <f>SUBTOTAL(9,B8:B18)</f>
        <v>20</v>
      </c>
      <c r="C19" s="799">
        <f>SUBTOTAL(9,C8:C18)</f>
        <v>13</v>
      </c>
      <c r="D19" s="800">
        <f>SUBTOTAL(9,D8:D18)</f>
        <v>329</v>
      </c>
    </row>
    <row r="20" spans="1:4" ht="7.5" customHeight="1"/>
    <row r="21" spans="1:4" ht="6" customHeight="1"/>
    <row r="22" spans="1:4">
      <c r="A22" s="391" t="str">
        <f>Criterios!A4</f>
        <v>Fecha Informe: 24 sep. 2024</v>
      </c>
    </row>
    <row r="27" spans="1:4">
      <c r="A27" s="414"/>
    </row>
  </sheetData>
  <sheetProtection algorithmName="SHA-512" hashValue="lNVbglkqr96md4u5zxKWUyzqM2VDIkPErK2up+H1RjZadtHB1w1IwmwY7s8+dttfhdsP8SKwAL5lC7fwbNsy6g==" saltValue="qNoVYAM5XeJrVsV78GK80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PUEBLA DE SANABRIA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0.30827067669172931</v>
      </c>
      <c r="C12" s="456">
        <f>IF(ISNUMBER(
   IF(J_V="SI",(Datos!J12-Datos!T12)/Datos!T12,(Datos!J12+Datos!Z12-(Datos!T12+Datos!AH12))/(Datos!T12+Datos!AH12))
     ),IF(J_V="SI",(Datos!J12-Datos!T12)/Datos!T12,(Datos!J12+Datos!Z12-(Datos!T12+Datos!AH12))/(Datos!T12+Datos!AH12))," - ")</f>
        <v>0.87272727272727268</v>
      </c>
      <c r="D12" s="456">
        <f>IF(ISNUMBER(
   IF(J_V="SI",(Datos!K12-Datos!U12)/Datos!U12,(Datos!K12+Datos!AA12-(Datos!U12+Datos!AI12))/(Datos!U12+Datos!AI12))
     ),IF(J_V="SI",(Datos!K12-Datos!U12)/Datos!U12,(Datos!K12+Datos!AA12-(Datos!U12+Datos!AI12))/(Datos!U12+Datos!AI12))," - ")</f>
        <v>9.8591549295774641E-2</v>
      </c>
      <c r="E12" s="456">
        <f>IF(ISNUMBER(
   IF(J_V="SI",(Datos!L12-Datos!V12)/Datos!V12,(Datos!L12+Datos!AB12-(Datos!V12+Datos!AJ12))/(Datos!V12+Datos!AJ12))
     ),IF(J_V="SI",(Datos!L12-Datos!V12)/Datos!V12,(Datos!L12+Datos!AB12-(Datos!V12+Datos!AJ12))/(Datos!V12+Datos!AJ12))," - ")</f>
        <v>0.70085470085470081</v>
      </c>
      <c r="F12" s="456">
        <f>IF(ISNUMBER((Datos!M12-Datos!W12)/Datos!W12),(Datos!M12-Datos!W12)/Datos!W12," - ")</f>
        <v>0</v>
      </c>
      <c r="G12" s="457">
        <f>IF(ISNUMBER((Datos!N12-Datos!X12)/Datos!X12),(Datos!N12-Datos!X12)/Datos!X12," - ")</f>
        <v>8.5</v>
      </c>
      <c r="H12" s="455">
        <f>IF(ISNUMBER(((NºAsuntos!G12/NºAsuntos!E12)-Datos!BD12)/Datos!BD12),((NºAsuntos!G12/NºAsuntos!E12)-Datos!BD12)/Datos!BD12," - ")</f>
        <v>-0.4133734445508</v>
      </c>
      <c r="I12" s="456">
        <f>IF(ISNUMBER(((NºAsuntos!I12/NºAsuntos!G12)-Datos!BE12)/Datos!BE12),((NºAsuntos!I12/NºAsuntos!G12)-Datos!BE12)/Datos!BE12," - ")</f>
        <v>0.54821389436774037</v>
      </c>
      <c r="J12" s="461">
        <f>IF(ISNUMBER((('Resol  Asuntos'!D12/NºAsuntos!G12)-Datos!BF12)/Datos!BF12),(('Resol  Asuntos'!D12/NºAsuntos!G12)-Datos!BF12)/Datos!BF12," - ")</f>
        <v>11.288461538461537</v>
      </c>
      <c r="K12" s="462">
        <f>IF(ISNUMBER((((NºAsuntos!C12+NºAsuntos!E12)/NºAsuntos!G12)-Datos!BG12)/Datos!BG12),(((NºAsuntos!C12+NºAsuntos!E12)/NºAsuntos!G12)-Datos!BG12)/Datos!BG12," - ")</f>
        <v>0.34117566830332779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0.30827067669172931</v>
      </c>
      <c r="C13" s="855">
        <f>IF(ISNUMBER(
   IF(J_V="SI",(Datos!J13-Datos!T13)/Datos!T13,(Datos!J13+Datos!Z13-(Datos!T13+Datos!AH13))/(Datos!T13+Datos!AH13))
     ),IF(J_V="SI",(Datos!J13-Datos!T13)/Datos!T13,(Datos!J13+Datos!Z13-(Datos!T13+Datos!AH13))/(Datos!T13+Datos!AH13))," - ")</f>
        <v>0.89090909090909087</v>
      </c>
      <c r="D13" s="855">
        <f>IF(ISNUMBER(
   IF(J_V="SI",(Datos!K13-Datos!U13)/Datos!U13,(Datos!K13+Datos!AA13-(Datos!U13+Datos!AI13))/(Datos!U13+Datos!AI13))
     ),IF(J_V="SI",(Datos!K13-Datos!U13)/Datos!U13,(Datos!K13+Datos!AA13-(Datos!U13+Datos!AI13))/(Datos!U13+Datos!AI13))," - ")</f>
        <v>9.8591549295774641E-2</v>
      </c>
      <c r="E13" s="855">
        <f>IF(ISNUMBER(
   IF(J_V="SI",(Datos!L13-Datos!V13)/Datos!V13,(Datos!L13+Datos!AB13-(Datos!V13+Datos!AJ13))/(Datos!V13+Datos!AJ13))
     ),IF(J_V="SI",(Datos!L13-Datos!V13)/Datos!V13,(Datos!L13+Datos!AB13-(Datos!V13+Datos!AJ13))/(Datos!V13+Datos!AJ13))," - ")</f>
        <v>0.70940170940170943</v>
      </c>
      <c r="F13" s="856">
        <f>IF(ISNUMBER((Datos!M13-Datos!W13)/Datos!W13),(Datos!M13-Datos!W13)/Datos!W13," - ")</f>
        <v>0</v>
      </c>
      <c r="G13" s="857">
        <f>IF(ISNUMBER((Datos!N13-Datos!X13)/Datos!X13),(Datos!N13-Datos!X13)/Datos!X13," - ")</f>
        <v>8.5</v>
      </c>
      <c r="H13" s="857">
        <f>IF(ISNUMBER(((NºAsuntos!G13/NºAsuntos!E13)-Datos!BD13)/Datos!BD13),((NºAsuntos!G13/NºAsuntos!E13)-Datos!BD13)/Datos!BD13," - ")</f>
        <v>-0.41901408450704231</v>
      </c>
      <c r="I13" s="857">
        <f>IF(ISNUMBER(((NºAsuntos!I13/NºAsuntos!G13)-Datos!BE13)/Datos!BE13),((NºAsuntos!I13/NºAsuntos!G13)-Datos!BE13)/Datos!BE13," - ")</f>
        <v>0.55599386368617154</v>
      </c>
      <c r="J13" s="857">
        <f>IF(ISNUMBER((('Resol  Asuntos'!D13/NºAsuntos!G13)-Datos!BF13)/Datos!BF13),(('Resol  Asuntos'!D13/NºAsuntos!G13)-Datos!BF13)/Datos!BF13," - ")</f>
        <v>11.288461538461537</v>
      </c>
      <c r="K13" s="857">
        <f>IF(ISNUMBER((((NºAsuntos!C13+NºAsuntos!E13)/NºAsuntos!G13)-Datos!BG13)/Datos!BG13),(((NºAsuntos!C13+NºAsuntos!E13)/NºAsuntos!G13)-Datos!BG13)/Datos!BG13," - ")</f>
        <v>0.34601745771958548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-0.32142857142857145</v>
      </c>
      <c r="C16" s="456">
        <f>IF(ISNUMBER(
   IF(D_I="SI",(Datos!J16-Datos!T16)/Datos!T16,(Datos!J16+Datos!AD16-(Datos!T16+Datos!AL16))/(Datos!T16+Datos!AL16))
     ),IF(D_I="SI",(Datos!J16-Datos!T16)/Datos!T16,(Datos!J16+Datos!AD16-(Datos!T16+Datos!AL16))/(Datos!T16+Datos!AL16))," - ")</f>
        <v>6.4516129032258063E-2</v>
      </c>
      <c r="D16" s="456">
        <f>IF(ISNUMBER(
   IF(D_I="SI",(Datos!K16-Datos!U16)/Datos!U16,(Datos!K16+Datos!AE16-(Datos!U16+Datos!AM16))/(Datos!U16+Datos!AM16))
     ),IF(D_I="SI",(Datos!K16-Datos!U16)/Datos!U16,(Datos!K16+Datos!AE16-(Datos!U16+Datos!AM16))/(Datos!U16+Datos!AM16))," - ")</f>
        <v>0.42105263157894735</v>
      </c>
      <c r="E16" s="456">
        <f>IF(ISNUMBER(
   IF(D_I="SI",(Datos!L16-Datos!V16)/Datos!V16,(Datos!L16+Datos!AF16-(Datos!V16+Datos!AN16))/(Datos!V16+Datos!AN16))
     ),IF(D_I="SI",(Datos!L16-Datos!V16)/Datos!V16,(Datos!L16+Datos!AF16-(Datos!V16+Datos!AN16))/(Datos!V16+Datos!AN16))," - ")</f>
        <v>-0.50952380952380949</v>
      </c>
      <c r="F16" s="456">
        <f>IF(ISNUMBER((Datos!M16-Datos!W16)/Datos!W16),(Datos!M16-Datos!W16)/Datos!W16," - ")</f>
        <v>0.25</v>
      </c>
      <c r="G16" s="457">
        <f>IF(ISNUMBER((Datos!N16-Datos!X16)/Datos!X16),(Datos!N16-Datos!X16)/Datos!X16," - ")</f>
        <v>-8.5714285714285715E-2</v>
      </c>
      <c r="H16" s="455">
        <f>IF(ISNUMBER(((NºAsuntos!G16/NºAsuntos!E16)-Datos!BD16)/Datos!BD16),((NºAsuntos!G16/NºAsuntos!E16)-Datos!BD16)/Datos!BD16," - ")</f>
        <v>0.33492822966507185</v>
      </c>
      <c r="I16" s="456">
        <f>IF(ISNUMBER(((NºAsuntos!I16/NºAsuntos!G16)-Datos!BE16)/Datos!BE16),((NºAsuntos!I16/NºAsuntos!G16)-Datos!BE16)/Datos!BE16," - ")</f>
        <v>-0.65485008818342139</v>
      </c>
      <c r="J16" s="461">
        <f>IF(ISNUMBER((('Resol  Asuntos'!D16/NºAsuntos!G16)-Datos!BF16)/Datos!BF16),(('Resol  Asuntos'!D16/NºAsuntos!G16)-Datos!BF16)/Datos!BF16," - ")</f>
        <v>-0.12037037037037036</v>
      </c>
      <c r="K16" s="462">
        <f>IF(ISNUMBER((((NºAsuntos!C16+NºAsuntos!E16)/NºAsuntos!G16)-Datos!BG16)/Datos!BG16),(((NºAsuntos!C16+NºAsuntos!E16)/NºAsuntos!G16)-Datos!BG16)/Datos!BG16," - ")</f>
        <v>-0.41724537037037035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-0.14285714285714285</v>
      </c>
      <c r="E17" s="456">
        <f>IF(ISNUMBER(
   IF(D_I="SI",(Datos!L17-Datos!V17)/Datos!V17,(Datos!L17+Datos!AF17-(Datos!V17+Datos!AN17))/(Datos!V17+Datos!AN17))
     ),IF(D_I="SI",(Datos!L17-Datos!V17)/Datos!V17,(Datos!L17+Datos!AF17-(Datos!V17+Datos!AN17))/(Datos!V17+Datos!AN17))," - ")</f>
        <v>-0.14285714285714285</v>
      </c>
      <c r="F17" s="456" t="str">
        <f>IF(ISNUMBER((Datos!M17-Datos!W17)/Datos!W17),(Datos!M17-Datos!W17)/Datos!W17," - ")</f>
        <v xml:space="preserve"> - </v>
      </c>
      <c r="G17" s="457">
        <f>IF(ISNUMBER((Datos!N17-Datos!X17)/Datos!X17),(Datos!N17-Datos!X17)/Datos!X17," - ")</f>
        <v>0.6</v>
      </c>
      <c r="H17" s="455">
        <f>IF(ISNUMBER(((NºAsuntos!G17/NºAsuntos!E17)-Datos!BD17)/Datos!BD17),((NºAsuntos!G17/NºAsuntos!E17)-Datos!BD17)/Datos!BD17," - ")</f>
        <v>-2.0408163265306176E-2</v>
      </c>
      <c r="I17" s="456">
        <f>IF(ISNUMBER(((NºAsuntos!I17/NºAsuntos!G17)-Datos!BE17)/Datos!BE17),((NºAsuntos!I17/NºAsuntos!G17)-Datos!BE17)/Datos!BE17," - ")</f>
        <v>0</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-0.31683168316831684</v>
      </c>
      <c r="C18" s="855">
        <f>IF(ISNUMBER(
   IF(Criterios!B14="SI",(Datos!J18-Datos!T18)/Datos!T18,(Datos!J18+Datos!AD18-(Datos!T18+Datos!AL18))/(Datos!T18+Datos!AL18))
     ),IF(Criterios!B14="SI",(Datos!J18-Datos!T18)/Datos!T18,(Datos!J18+Datos!AD18-(Datos!T18+Datos!AL18))/(Datos!T18+Datos!AL18))," - ")</f>
        <v>5.3030303030303032E-2</v>
      </c>
      <c r="D18" s="855">
        <f>IF(ISNUMBER(
   IF(Criterios!B14="SI",(Datos!K18-Datos!U18)/Datos!U18,(Datos!K18+Datos!AE18-(Datos!U18+Datos!AM18))/(Datos!U18+Datos!AM18))
     ),IF(Criterios!B14="SI",(Datos!K18-Datos!U18)/Datos!U18,(Datos!K18+Datos!AE18-(Datos!U18+Datos!AM18))/(Datos!U18+Datos!AM18))," - ")</f>
        <v>0.38842975206611569</v>
      </c>
      <c r="E18" s="855">
        <f>IF(ISNUMBER(
   IF(Criterios!B14="SI",(Datos!L18-Datos!V18)/Datos!V18,(Datos!L18+Datos!AF18-(Datos!V18+Datos!AN18))/(Datos!V18+Datos!AN18))
     ),IF(Criterios!B14="SI",(Datos!L18-Datos!V18)/Datos!V18,(Datos!L18+Datos!AF18-(Datos!V18+Datos!AN18))/(Datos!V18+Datos!AN18))," - ")</f>
        <v>-0.49769585253456222</v>
      </c>
      <c r="F18" s="856">
        <f>IF(ISNUMBER((Datos!M18-Datos!W18)/Datos!W18),(Datos!M18-Datos!W18)/Datos!W18," - ")</f>
        <v>0.35</v>
      </c>
      <c r="G18" s="857">
        <f>IF(ISNUMBER((Datos!N18-Datos!X18)/Datos!X18),(Datos!N18-Datos!X18)/Datos!X18," - ")</f>
        <v>-0.04</v>
      </c>
      <c r="H18" s="857">
        <f>IF(ISNUMBER(((NºAsuntos!G18/NºAsuntos!E18)-Datos!BD18)/Datos!BD18),((NºAsuntos!G18/NºAsuntos!E18)-Datos!BD18)/Datos!BD18," - ")</f>
        <v>0.31850882930019631</v>
      </c>
      <c r="I18" s="857">
        <f>IF(ISNUMBER(((NºAsuntos!I18/NºAsuntos!G18)-Datos!BE18)/Datos!BE18),((NºAsuntos!I18/NºAsuntos!G18)-Datos!BE18)/Datos!BE18," - ")</f>
        <v>-0.63822141759929785</v>
      </c>
      <c r="J18" s="857">
        <f>IF(ISNUMBER((('Resol  Asuntos'!D18/NºAsuntos!G18)-Datos!BF18)/Datos!BF18),(('Resol  Asuntos'!D18/NºAsuntos!G18)-Datos!BF18)/Datos!BF18," - ")</f>
        <v>-2.7678571428571382E-2</v>
      </c>
      <c r="K18" s="857">
        <f>IF(ISNUMBER((((NºAsuntos!C18+NºAsuntos!E18)/NºAsuntos!G18)-Datos!BG18)/Datos!BG18),(((NºAsuntos!C18+NºAsuntos!E18)/NºAsuntos!G18)-Datos!BG18)/Datos!BG18," - ")</f>
        <v>-0.40267678927858575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-6.8656716417910449E-2</v>
      </c>
      <c r="C19" s="802">
        <f>IF(ISNUMBER(
   IF(J_V="SI",(Datos!J19-Datos!T19)/Datos!T19,(Datos!J19+Datos!Z19-(Datos!T19+Datos!AH19))/(Datos!T19+Datos!AH19))
     ),IF(J_V="SI",(Datos!J19-Datos!T19)/Datos!T19,(Datos!J19+Datos!Z19-(Datos!T19+Datos!AH19))/(Datos!T19+Datos!AH19))," - ")</f>
        <v>0.29946524064171121</v>
      </c>
      <c r="D19" s="802">
        <f>IF(ISNUMBER(
   IF(J_V="SI",(Datos!K19-Datos!U19)/Datos!U19,(Datos!K19+Datos!AA19-(Datos!U19+Datos!AI19))/(Datos!U19+Datos!AI19))
     ),IF(J_V="SI",(Datos!K19-Datos!U19)/Datos!U19,(Datos!K19+Datos!AA19-(Datos!U19+Datos!AI19))/(Datos!U19+Datos!AI19))," - ")</f>
        <v>0.28125</v>
      </c>
      <c r="E19" s="802">
        <f>IF(ISNUMBER(
   IF(J_V="SI",(Datos!L19-Datos!V19)/Datos!V19,(Datos!L19+Datos!AB19-(Datos!V19+Datos!AJ19))/(Datos!V19+Datos!AJ19))
     ),IF(J_V="SI",(Datos!L19-Datos!V19)/Datos!V19,(Datos!L19+Datos!AB19-(Datos!V19+Datos!AJ19))/(Datos!V19+Datos!AJ19))," - ")</f>
        <v>-7.4850299401197598E-2</v>
      </c>
      <c r="F19" s="803">
        <f>IF(ISNUMBER((Datos!M19-Datos!W19)/Datos!W19),(Datos!M19-Datos!W19)/Datos!W19," - ")</f>
        <v>0.14893617021276595</v>
      </c>
      <c r="G19" s="804">
        <f>IF(ISNUMBER((Datos!N19-Datos!X19)/Datos!X19),(Datos!N19-Datos!X19)/Datos!X19," - ")</f>
        <v>0.18181818181818182</v>
      </c>
      <c r="H19" s="805">
        <f>IF(ISNUMBER((Tasas!B19-Datos!BD19)/Datos!BD19),(Tasas!B19-Datos!BD19)/Datos!BD19," - ")</f>
        <v>-1.4017489711934205E-2</v>
      </c>
      <c r="I19" s="806">
        <f>IF(ISNUMBER((Tasas!C19-Datos!BE19)/Datos!BE19),(Tasas!C19-Datos!BE19)/Datos!BE19," - ")</f>
        <v>-0.27793194099605661</v>
      </c>
      <c r="J19" s="807">
        <f>IF(ISNUMBER((Tasas!D19-Datos!BF19)/Datos!BF19),(Tasas!D19-Datos!BF19)/Datos!BF19," - ")</f>
        <v>0.91574279379157442</v>
      </c>
      <c r="K19" s="807">
        <f>IF(ISNUMBER((Tasas!E19-Datos!BG19)/Datos!BG19),(Tasas!E19-Datos!BG19)/Datos!BG19," - ")</f>
        <v>-0.17017101205494822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dPS92kcUDILWeXAtCZjHyWkPuaNWtfcbovsVND1Eqv4/EznWHGVbboDKc4NNdfpnOBkx/ASE+EBZVoL/9XBMA==" saltValue="FhRJREApRzqmlUPjWwPZ3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PUEBLA DE SANABRIA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0.75728155339805825</v>
      </c>
      <c r="C12" s="443">
        <f>IF(ISNUMBER(NºAsuntos!I12/NºAsuntos!G12),NºAsuntos!I12/NºAsuntos!G12," - ")</f>
        <v>2.5512820512820511</v>
      </c>
      <c r="D12" s="444">
        <f>IF(ISNUMBER('Resol  Asuntos'!D12/NºAsuntos!G12),'Resol  Asuntos'!D12/NºAsuntos!G12," - ")</f>
        <v>0.34615384615384615</v>
      </c>
      <c r="E12" s="445">
        <f>IF(ISNUMBER((NºAsuntos!C12+NºAsuntos!E12)/NºAsuntos!G12),(NºAsuntos!C12+NºAsuntos!E12)/NºAsuntos!G12," - ")</f>
        <v>3.5512820512820511</v>
      </c>
      <c r="G12" s="463"/>
    </row>
    <row r="13" spans="1:7" ht="14.25" thickTop="1" thickBot="1">
      <c r="A13" s="848" t="str">
        <f>Datos!A13</f>
        <v>TOTAL</v>
      </c>
      <c r="B13" s="858">
        <f>IF(ISNUMBER(NºAsuntos!G13/NºAsuntos!E13),NºAsuntos!G13/NºAsuntos!E13," - ")</f>
        <v>0.75</v>
      </c>
      <c r="C13" s="859">
        <f>IF(ISNUMBER(NºAsuntos!I13/NºAsuntos!G13),NºAsuntos!I13/NºAsuntos!G13," - ")</f>
        <v>2.5641025641025643</v>
      </c>
      <c r="D13" s="860">
        <f>IF(ISNUMBER('Resol  Asuntos'!D13/NºAsuntos!G13),'Resol  Asuntos'!D13/NºAsuntos!G13," - ")</f>
        <v>0.34615384615384615</v>
      </c>
      <c r="E13" s="861">
        <f>IF(ISNUMBER((NºAsuntos!C13+NºAsuntos!E13)/NºAsuntos!G13),(NºAsuntos!C13+NºAsuntos!E13)/NºAsuntos!G13," - ")</f>
        <v>3.5641025641025643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1.2272727272727273</v>
      </c>
      <c r="C16" s="443">
        <f>IF(ISNUMBER(NºAsuntos!I16/NºAsuntos!G16),NºAsuntos!I16/NºAsuntos!G16," - ")</f>
        <v>0.63580246913580252</v>
      </c>
      <c r="D16" s="444">
        <f>IF(ISNUMBER('Resol  Asuntos'!D16/NºAsuntos!G16),'Resol  Asuntos'!D16/NºAsuntos!G16," - ")</f>
        <v>0.15432098765432098</v>
      </c>
      <c r="E16" s="445">
        <f>IF(ISNUMBER((NºAsuntos!C16+NºAsuntos!E16)/NºAsuntos!G16),(NºAsuntos!C16+NºAsuntos!E16)/NºAsuntos!G16," - ")</f>
        <v>1.6358024691358024</v>
      </c>
      <c r="G16" s="463"/>
    </row>
    <row r="17" spans="1:7" ht="13.5" thickBot="1">
      <c r="A17" s="402" t="str">
        <f>Datos!A17</f>
        <v>Jdos. Violencia contra la mujer</v>
      </c>
      <c r="B17" s="442">
        <f>IF(ISNUMBER(NºAsuntos!G17/NºAsuntos!E17),NºAsuntos!G17/NºAsuntos!E17," - ")</f>
        <v>0.8571428571428571</v>
      </c>
      <c r="C17" s="443">
        <f>IF(ISNUMBER(NºAsuntos!I17/NºAsuntos!G17),NºAsuntos!I17/NºAsuntos!G17," - ")</f>
        <v>1</v>
      </c>
      <c r="D17" s="444">
        <f>IF(ISNUMBER('Resol  Asuntos'!D17/NºAsuntos!G17),'Resol  Asuntos'!D17/NºAsuntos!G17," - ")</f>
        <v>0.33333333333333331</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1.2086330935251799</v>
      </c>
      <c r="C18" s="859">
        <f>IF(ISNUMBER(NºAsuntos!I18/NºAsuntos!G18),NºAsuntos!I18/NºAsuntos!G18," - ")</f>
        <v>0.64880952380952384</v>
      </c>
      <c r="D18" s="862">
        <f>IF(ISNUMBER('Resol  Asuntos'!D18/NºAsuntos!G18),'Resol  Asuntos'!D18/NºAsuntos!G18," - ")</f>
        <v>0.16071428571428573</v>
      </c>
      <c r="E18" s="861">
        <f>IF(ISNUMBER((NºAsuntos!C18+NºAsuntos!E18)/NºAsuntos!G18),(NºAsuntos!C18+NºAsuntos!E18)/NºAsuntos!G18," - ")</f>
        <v>1.6488095238095237</v>
      </c>
      <c r="G18" s="463"/>
    </row>
    <row r="19" spans="1:7" ht="15.75" customHeight="1" thickTop="1" thickBot="1">
      <c r="A19" s="793" t="str">
        <f>Datos!A19</f>
        <v>TOTAL JURISDICCIONES</v>
      </c>
      <c r="B19" s="808">
        <f>IF(ISNUMBER(NºAsuntos!G19/NºAsuntos!E19),NºAsuntos!G19/NºAsuntos!E19," - ")</f>
        <v>1.0123456790123457</v>
      </c>
      <c r="C19" s="809">
        <f>IF(ISNUMBER(NºAsuntos!I19/NºAsuntos!G19),NºAsuntos!I19/NºAsuntos!G19," - ")</f>
        <v>1.2560975609756098</v>
      </c>
      <c r="D19" s="810">
        <f>IF(ISNUMBER('Resol  Asuntos'!D19/NºAsuntos!G19),'Resol  Asuntos'!D19/NºAsuntos!G19," - ")</f>
        <v>0.21951219512195122</v>
      </c>
      <c r="E19" s="811">
        <f>IF(ISNUMBER((NºAsuntos!C19+NºAsuntos!E19)/NºAsuntos!G19),(NºAsuntos!C19+NºAsuntos!E19)/NºAsuntos!G19," - ")</f>
        <v>2.2560975609756095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hp96h67WLnlSUsQIeSm5d9s1GKxDhmLLo+IdE//oObXfSUkwGLfnsj/c/4bKQ1GcWBh42T1QhTVt6cWdXfcsA==" saltValue="ORWELKYw5mlUOJBnKfYa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PUEBLA DE SANABRIA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v>
      </c>
      <c r="Y12" s="334">
        <f t="shared" si="0"/>
        <v>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v>
      </c>
      <c r="AJ12" s="229" t="str">
        <f>IF(ISNUMBER(Datos!BW12),Datos!BW12," - ")</f>
        <v xml:space="preserve"> - </v>
      </c>
      <c r="AK12" s="228" t="str">
        <f>IF(ISNUMBER(Datos!BX12),Datos!BX12," - ")</f>
        <v xml:space="preserve"> - </v>
      </c>
      <c r="AL12" s="243">
        <f>IF(ISNUMBER(NºAsuntos!G12/NºAsuntos!E12),NºAsuntos!G12/NºAsuntos!E12," - ")</f>
        <v>0.75728155339805825</v>
      </c>
      <c r="AM12" s="260">
        <f>IF(ISNUMBER(((NºAsuntos!I12/NºAsuntos!G12)*11)/factor_trimestre),((NºAsuntos!I12/NºAsuntos!G12)*11)/factor_trimestre," - ")</f>
        <v>7.6538461538461533</v>
      </c>
      <c r="AN12" s="244">
        <f>IF(ISNUMBER('Resol  Asuntos'!D12/NºAsuntos!G12),'Resol  Asuntos'!D12/NºAsuntos!G12," - ")</f>
        <v>0.34615384615384615</v>
      </c>
      <c r="AO12" s="245">
        <f>IF(ISNUMBER((NºAsuntos!C12+NºAsuntos!E12)/NºAsuntos!G12),(NºAsuntos!C12+NºAsuntos!E12)/NºAsuntos!G12," - ")</f>
        <v>3.5512820512820511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12</v>
      </c>
      <c r="Y13" s="868">
        <f t="shared" si="4"/>
        <v>12</v>
      </c>
      <c r="Z13" s="868">
        <f t="shared" si="4"/>
        <v>0</v>
      </c>
      <c r="AA13" s="868">
        <f t="shared" si="4"/>
        <v>1</v>
      </c>
      <c r="AB13" s="868">
        <f t="shared" si="4"/>
        <v>293</v>
      </c>
      <c r="AC13" s="868">
        <f t="shared" si="4"/>
        <v>1</v>
      </c>
      <c r="AD13" s="868">
        <f t="shared" si="4"/>
        <v>0</v>
      </c>
      <c r="AE13" s="872">
        <f t="shared" si="4"/>
        <v>0</v>
      </c>
      <c r="AF13" s="865">
        <f t="shared" si="4"/>
        <v>0</v>
      </c>
      <c r="AG13" s="873">
        <f t="shared" si="4"/>
        <v>0</v>
      </c>
      <c r="AH13" s="870">
        <f t="shared" si="4"/>
        <v>0</v>
      </c>
      <c r="AI13" s="865">
        <f t="shared" si="4"/>
        <v>27</v>
      </c>
      <c r="AJ13" s="867">
        <f t="shared" si="4"/>
        <v>0</v>
      </c>
      <c r="AK13" s="870">
        <f>SUBTOTAL(9,AK9:AK12)</f>
        <v>0</v>
      </c>
      <c r="AL13" s="874">
        <f>IF(ISNUMBER(NºAsuntos!G13/NºAsuntos!E13),NºAsuntos!G13/NºAsuntos!E13," - ")</f>
        <v>0.75</v>
      </c>
      <c r="AM13" s="874">
        <f>IF(ISNUMBER(((NºAsuntos!I13/NºAsuntos!G13)*11)/factor_trimestre),((NºAsuntos!I13/NºAsuntos!G13)*11)/factor_trimestre," - ")</f>
        <v>7.6923076923076934</v>
      </c>
      <c r="AN13" s="875">
        <f>IF(ISNUMBER('Resol  Asuntos'!D13/NºAsuntos!G13),'Resol  Asuntos'!D13/NºAsuntos!G13," - ")</f>
        <v>0.34615384615384615</v>
      </c>
      <c r="AO13" s="876">
        <f>IF(ISNUMBER((NºAsuntos!C13+NºAsuntos!E13)/NºAsuntos!G13),(NºAsuntos!C13+NºAsuntos!E13)/NºAsuntos!G13," - ")</f>
        <v>3.5641025641025643</v>
      </c>
      <c r="AP13" s="877" t="str">
        <f t="shared" si="2"/>
        <v xml:space="preserve"> - </v>
      </c>
      <c r="AQ13" s="877" t="str">
        <f>IF(ISNUMBER((H13-W13+K13)/(F13)),(H13-W13+K13)/(F13)," - ")</f>
        <v xml:space="preserve"> - </v>
      </c>
      <c r="AR13" s="878">
        <f>IF(ISNUMBER((Datos!P13-Datos!Q13)/(Datos!R13-Datos!P13+Datos!Q13)),(Datos!P13-Datos!Q13)/(Datos!R13-Datos!P13+Datos!Q13)," - ")</f>
        <v>1.7361111111111112E-2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133</v>
      </c>
      <c r="G16" s="333">
        <f>IF(ISNUMBER(IF(D_I="SI",Datos!I16,Datos!I16+Datos!AC16)),IF(D_I="SI",Datos!I16,Datos!I16+Datos!AC16)," - ")</f>
        <v>133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162</v>
      </c>
      <c r="X16" s="226">
        <f>IF(ISNUMBER(Datos!Q16),Datos!Q16," - ")</f>
        <v>1</v>
      </c>
      <c r="Y16" s="334">
        <f t="shared" ref="Y16:Y17" si="7">SUM(W16:X16)</f>
        <v>163</v>
      </c>
      <c r="Z16" s="335" t="str">
        <f>IF(ISNUMBER(Datos!CC16),Datos!CC16," - ")</f>
        <v xml:space="preserve"> - </v>
      </c>
      <c r="AA16" s="332">
        <f>IF(ISNUMBER(IF(D_I="SI",Datos!L16,Datos!L16+Datos!AF16)),IF(D_I="SI",Datos!L16,Datos!L16+Datos!AF16)," - ")</f>
        <v>103</v>
      </c>
      <c r="AB16" s="334">
        <f>IF(ISNUMBER(Datos!R16),Datos!R16," - ")</f>
        <v>36</v>
      </c>
      <c r="AC16" s="334">
        <f t="shared" si="6"/>
        <v>139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v>
      </c>
      <c r="AJ16" s="231" t="str">
        <f>IF(ISNUMBER(Datos!BW16),Datos!BW16," - ")</f>
        <v xml:space="preserve"> - </v>
      </c>
      <c r="AK16" s="232" t="str">
        <f>IF(ISNUMBER(Datos!BX16),Datos!BX16," - ")</f>
        <v xml:space="preserve"> - </v>
      </c>
      <c r="AL16" s="243">
        <f>IF(ISNUMBER(NºAsuntos!G16/NºAsuntos!E16),NºAsuntos!G16/NºAsuntos!E16," - ")</f>
        <v>1.2272727272727273</v>
      </c>
      <c r="AM16" s="260">
        <f>IF(ISNUMBER(((NºAsuntos!I16/NºAsuntos!G16)*11)/factor_trimestre),((NºAsuntos!I16/NºAsuntos!G16)*11)/factor_trimestre," - ")</f>
        <v>1.9074074074074077</v>
      </c>
      <c r="AN16" s="244">
        <f>IF(ISNUMBER('Resol  Asuntos'!D16/NºAsuntos!G16),'Resol  Asuntos'!D16/NºAsuntos!G16," - ")</f>
        <v>0.15432098765432098</v>
      </c>
      <c r="AO16" s="245">
        <f>IF(ISNUMBER((NºAsuntos!C16+NºAsuntos!E16)/NºAsuntos!G16),(NºAsuntos!C16+NºAsuntos!E16)/NºAsuntos!G16," - ")</f>
        <v>1.6358024691358024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0.8571428571428571</v>
      </c>
      <c r="AM17" s="260">
        <f>IF(ISNUMBER(((NºAsuntos!I17/NºAsuntos!G17)*11)/factor_trimestre),((NºAsuntos!I17/NºAsuntos!G17)*11)/factor_trimestre," - ")</f>
        <v>3</v>
      </c>
      <c r="AN17" s="244">
        <f>IF(ISNUMBER('Resol  Asuntos'!D17/NºAsuntos!G17),'Resol  Asuntos'!D17/NºAsuntos!G17," - ")</f>
        <v>0.33333333333333331</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133</v>
      </c>
      <c r="G18" s="866">
        <f>SUBTOTAL(9,G15:G17)</f>
        <v>138</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168</v>
      </c>
      <c r="X18" s="867">
        <f t="shared" si="11"/>
        <v>1</v>
      </c>
      <c r="Y18" s="868">
        <f t="shared" si="11"/>
        <v>169</v>
      </c>
      <c r="Z18" s="868">
        <f t="shared" si="11"/>
        <v>0</v>
      </c>
      <c r="AA18" s="868">
        <f t="shared" si="11"/>
        <v>109</v>
      </c>
      <c r="AB18" s="868">
        <f t="shared" si="11"/>
        <v>36</v>
      </c>
      <c r="AC18" s="868">
        <f t="shared" si="11"/>
        <v>145</v>
      </c>
      <c r="AD18" s="868">
        <f t="shared" si="11"/>
        <v>0</v>
      </c>
      <c r="AE18" s="872">
        <f t="shared" si="11"/>
        <v>0</v>
      </c>
      <c r="AF18" s="865">
        <f t="shared" si="11"/>
        <v>0</v>
      </c>
      <c r="AG18" s="873">
        <f t="shared" si="11"/>
        <v>0</v>
      </c>
      <c r="AH18" s="870">
        <f t="shared" si="11"/>
        <v>0</v>
      </c>
      <c r="AI18" s="865">
        <f t="shared" si="11"/>
        <v>27</v>
      </c>
      <c r="AJ18" s="867">
        <f t="shared" si="11"/>
        <v>0</v>
      </c>
      <c r="AK18" s="870">
        <f t="shared" si="11"/>
        <v>0</v>
      </c>
      <c r="AL18" s="874">
        <f>IF(ISNUMBER(NºAsuntos!G18/NºAsuntos!E18),NºAsuntos!G18/NºAsuntos!E18," - ")</f>
        <v>1.2086330935251799</v>
      </c>
      <c r="AM18" s="874">
        <f>IF(ISNUMBER(((NºAsuntos!I18/NºAsuntos!G18)*11)/factor_trimestre),((NºAsuntos!I18/NºAsuntos!G18)*11)/factor_trimestre," - ")</f>
        <v>1.9464285714285714</v>
      </c>
      <c r="AN18" s="875">
        <f>IF(ISNUMBER('Resol  Asuntos'!D18/NºAsuntos!G18),'Resol  Asuntos'!D18/NºAsuntos!G18," - ")</f>
        <v>0.16071428571428573</v>
      </c>
      <c r="AO18" s="876">
        <f>IF(ISNUMBER((NºAsuntos!C18+NºAsuntos!E18)/NºAsuntos!G18),(NºAsuntos!C18+NºAsuntos!E18)/NºAsuntos!G18," - ")</f>
        <v>1.6488095238095237</v>
      </c>
      <c r="AP18" s="877" t="str">
        <f t="shared" si="2"/>
        <v xml:space="preserve"> - </v>
      </c>
      <c r="AQ18" s="877">
        <f>IF(ISNUMBER((H18-W18+K18)/(F18)),(H18-W18+K18)/(F18)," - ")</f>
        <v>-1.263157894736842</v>
      </c>
      <c r="AR18" s="878">
        <f>IF(ISNUMBER((Datos!P18-Datos!Q18)/(Datos!R18-Datos!P18+Datos!Q18)),(Datos!P18-Datos!Q18)/(Datos!R18-Datos!P18+Datos!Q18)," - ")</f>
        <v>5.8823529411764705E-2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133</v>
      </c>
      <c r="G19" s="821">
        <f t="shared" si="13"/>
        <v>138</v>
      </c>
      <c r="H19" s="820">
        <f t="shared" si="13"/>
        <v>0</v>
      </c>
      <c r="I19" s="822">
        <f t="shared" si="13"/>
        <v>0</v>
      </c>
      <c r="J19" s="822">
        <f t="shared" si="13"/>
        <v>0</v>
      </c>
      <c r="K19" s="881">
        <f t="shared" si="13"/>
        <v>0</v>
      </c>
      <c r="L19" s="822">
        <f t="shared" si="13"/>
        <v>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168</v>
      </c>
      <c r="X19" s="821">
        <f t="shared" si="14"/>
        <v>13</v>
      </c>
      <c r="Y19" s="828">
        <f t="shared" si="14"/>
        <v>181</v>
      </c>
      <c r="Z19" s="828">
        <f t="shared" si="14"/>
        <v>0</v>
      </c>
      <c r="AA19" s="828">
        <f t="shared" si="14"/>
        <v>110</v>
      </c>
      <c r="AB19" s="828">
        <f t="shared" si="14"/>
        <v>329</v>
      </c>
      <c r="AC19" s="828">
        <f t="shared" si="14"/>
        <v>146</v>
      </c>
      <c r="AD19" s="828">
        <f t="shared" si="14"/>
        <v>0</v>
      </c>
      <c r="AE19" s="830">
        <f t="shared" si="14"/>
        <v>0</v>
      </c>
      <c r="AF19" s="831">
        <f t="shared" si="14"/>
        <v>0</v>
      </c>
      <c r="AG19" s="832">
        <f t="shared" si="14"/>
        <v>0</v>
      </c>
      <c r="AH19" s="830">
        <f t="shared" si="14"/>
        <v>0</v>
      </c>
      <c r="AI19" s="820">
        <f t="shared" si="14"/>
        <v>54</v>
      </c>
      <c r="AJ19" s="820">
        <f t="shared" si="14"/>
        <v>0</v>
      </c>
      <c r="AK19" s="830">
        <f t="shared" si="14"/>
        <v>0</v>
      </c>
      <c r="AL19" s="884">
        <f>IF(ISNUMBER(NºAsuntos!G19/NºAsuntos!E19),NºAsuntos!G19/NºAsuntos!E19," - ")</f>
        <v>1.0123456790123457</v>
      </c>
      <c r="AM19" s="885">
        <f>IF(ISNUMBER(((NºAsuntos!I19/NºAsuntos!G19)*11)/factor_trimestre),((NºAsuntos!I19/NºAsuntos!G19)*11)/factor_trimestre," - ")</f>
        <v>3.7682926829268291</v>
      </c>
      <c r="AN19" s="885">
        <f>IF(ISNUMBER('Resol  Asuntos'!D19/NºAsuntos!G19),'Resol  Asuntos'!D19/NºAsuntos!G19," - ")</f>
        <v>0.21951219512195122</v>
      </c>
      <c r="AO19" s="886">
        <f>IF(ISNUMBER((NºAsuntos!C19+NºAsuntos!E19)/NºAsuntos!G19),(NºAsuntos!C19+NºAsuntos!E19)/NºAsuntos!G19," - ")</f>
        <v>2.2560975609756095</v>
      </c>
      <c r="AP19" s="887" t="str">
        <f t="shared" si="2"/>
        <v xml:space="preserve"> - </v>
      </c>
      <c r="AQ19" s="888">
        <f>IF(OR(ISNUMBER(FIND("01",Criterios!A8,1)),ISNUMBER(FIND("02",Criterios!A8,1)),ISNUMBER(FIND("03",Criterios!A8,1)),ISNUMBER(FIND("04",Criterios!A8,1))),(I19-W19+K19)/(F19-K19),(H19-W19+K19)/(F19-K19))</f>
        <v>-1.263157894736842</v>
      </c>
      <c r="AR19" s="889">
        <f>IF(ISNUMBER((Datos!P19-Datos!Q19)/(Datos!R19-Datos!P19+Datos!Q19)),(Datos!P19-Datos!Q19)/(Datos!R19-Datos!P19+Datos!Q19)," - ")</f>
        <v>2.1739130434782608E-2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76.787585802220221</v>
      </c>
      <c r="G21" s="253">
        <f>IF(ISNUMBER(STDEV(G8:G18)),STDEV(G8:G18),"-")</f>
        <v>73.353254869842004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89.337562088966806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13.206059215375342</v>
      </c>
      <c r="AJ21" s="252">
        <f t="shared" si="18"/>
        <v>0</v>
      </c>
      <c r="AK21" s="254">
        <f t="shared" si="18"/>
        <v>0</v>
      </c>
      <c r="AL21" s="249">
        <f t="shared" si="18"/>
        <v>0.44657208650387187</v>
      </c>
      <c r="AM21" s="250">
        <f t="shared" si="18"/>
        <v>2.9837826720229388</v>
      </c>
      <c r="AN21" s="250">
        <f t="shared" si="18"/>
        <v>0.10114042545310128</v>
      </c>
      <c r="AO21" s="251">
        <f t="shared" si="18"/>
        <v>0.99459422400764741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isz1ZZdv5kbadHzvtVapO+U40ztTZHT+Ho50F76LO0DqAsj+O/BPELRQ9Mez3Utj/zJyJmUbhKeGZWb52awYQ==" saltValue="JlpcPHNR6W6anURzMAph1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PUEBLA DE SANABRIA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0.54821389436774037</v>
      </c>
      <c r="J12" s="349">
        <f>IF(ISNUMBER((Tasas!D12-Datos!BF12)/Datos!BF12),(Tasas!D12-Datos!BF12)/Datos!BF12," - ")</f>
        <v>11.288461538461537</v>
      </c>
      <c r="K12" s="351">
        <f>IF(ISNUMBER((Tasas!E12-Datos!BG12)/Datos!BG12),(Tasas!E12-Datos!BG12)/Datos!BG12," - ")</f>
        <v>0.34117566830332779</v>
      </c>
      <c r="M12" t="e">
        <f>IF(Monitorios="SI",Datos!CE12,0)</f>
        <v>#REF!</v>
      </c>
      <c r="N12" t="e">
        <f>IF(Monitorios="SI",Datos!CF12,0)</f>
        <v>#REF!</v>
      </c>
      <c r="O12" t="e">
        <f>IF(Monitorios="SI",Datos!CG12,0)</f>
        <v>#REF!</v>
      </c>
      <c r="P12" t="e">
        <f>IF(Monitorios="SI",Datos!CH12,0)</f>
        <v>#REF!</v>
      </c>
      <c r="Q12">
        <f>IF(J_V="SI",0,Datos!AG12)</f>
        <v>5</v>
      </c>
      <c r="R12">
        <f>IF(J_V="SI",0,Datos!AH12)</f>
        <v>3</v>
      </c>
      <c r="S12">
        <f>IF(J_V="SI",0,Datos!AI12)</f>
        <v>7</v>
      </c>
      <c r="T12">
        <f>IF(J_V="SI",0,Datos!AJ12)</f>
        <v>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0.55599386368617154</v>
      </c>
      <c r="J13" s="355">
        <f>IF(ISNUMBER((Tasas!D13-Datos!BF13)/Datos!BF13),(Tasas!D13-Datos!BF13)/Datos!BF13," - ")</f>
        <v>11.288461538461537</v>
      </c>
      <c r="K13" s="358">
        <f>IF(ISNUMBER((Tasas!E13-Datos!BG13)/Datos!BG13),(Tasas!E13-Datos!BG13)/Datos!BG13," - ")</f>
        <v>0.34601745771958548</v>
      </c>
      <c r="M13" t="e">
        <f>IF(Monitorios="SI",Datos!CE13,0)</f>
        <v>#REF!</v>
      </c>
      <c r="N13" t="e">
        <f>IF(Monitorios="SI",Datos!CF13,0)</f>
        <v>#REF!</v>
      </c>
      <c r="O13" t="e">
        <f>IF(Monitorios="SI",Datos!CG13,0)</f>
        <v>#REF!</v>
      </c>
      <c r="P13" t="e">
        <f>IF(Monitorios="SI",Datos!CH13,0)</f>
        <v>#REF!</v>
      </c>
      <c r="Q13">
        <f>IF(J_V="SI",0,Datos!AG13)</f>
        <v>5</v>
      </c>
      <c r="R13">
        <f>IF(J_V="SI",0,Datos!AH13)</f>
        <v>3</v>
      </c>
      <c r="S13">
        <f>IF(J_V="SI",0,Datos!AI13)</f>
        <v>7</v>
      </c>
      <c r="T13">
        <f>IF(J_V="SI",0,Datos!AJ13)</f>
        <v>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-0.32142857142857145</v>
      </c>
      <c r="E16" s="348">
        <f>IF(ISNUMBER(
   IF(D_I="SI",(Datos!J16-Datos!T16)/Datos!T16,(Datos!J16+Datos!AD16-(Datos!T16+Datos!AL16))/(Datos!T16+Datos!AL16))
     ),IF(D_I="SI",(Datos!J16-Datos!T16)/Datos!T16,(Datos!J16+Datos!AD16-(Datos!T16+Datos!AL16))/(Datos!T16+Datos!AL16))," - ")</f>
        <v>6.4516129032258063E-2</v>
      </c>
      <c r="F16" s="348">
        <f>IF(ISNUMBER(
   IF(D_I="SI",(Datos!K16-Datos!U16)/Datos!U16,(Datos!K16+Datos!AE16-(Datos!U16+Datos!AM16))/(Datos!U16+Datos!AM16))
     ),IF(D_I="SI",(Datos!K16-Datos!U16)/Datos!U16,(Datos!K16+Datos!AE16-(Datos!U16+Datos!AM16))/(Datos!U16+Datos!AM16))," - ")</f>
        <v>0.42105263157894735</v>
      </c>
      <c r="G16" s="349">
        <f>IF(ISNUMBER(
   IF(D_I="SI",(Datos!L16-Datos!V16)/Datos!V16,(Datos!L16+Datos!AF16-(Datos!V16+Datos!AN16))/(Datos!V16+Datos!AN16))
     ),IF(D_I="SI",(Datos!L16-Datos!V16)/Datos!V16,(Datos!L16+Datos!AF16-(Datos!V16+Datos!AN16))/(Datos!V16+Datos!AN16))," - ")</f>
        <v>-0.50952380952380949</v>
      </c>
      <c r="H16" s="230">
        <f>IF(ISNUMBER((Datos!M16-Datos!W16)/Datos!W16),(Datos!M16-Datos!W16)/Datos!W16," - ")</f>
        <v>0.25</v>
      </c>
      <c r="I16" s="350">
        <f>IF(ISNUMBER((Tasas!C16-Datos!BE16)/Datos!BE16),(Tasas!C16-Datos!BE16)/Datos!BE16," - ")</f>
        <v>-0.65485008818342139</v>
      </c>
      <c r="J16" s="349">
        <f>IF(ISNUMBER((Tasas!D16-Datos!BF16)/Datos!BF16),(Tasas!D16-Datos!BF16)/Datos!BF16," - ")</f>
        <v>-0.12037037037037036</v>
      </c>
      <c r="K16" s="351">
        <f>IF(ISNUMBER((Tasas!E16-Datos!BG16)/Datos!BG16),(Tasas!E16-Datos!BG16)/Datos!BG16," - ")</f>
        <v>-0.41724537037037035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-0.14285714285714285</v>
      </c>
      <c r="G17" s="349">
        <f>IF(ISNUMBER(
   IF(D_I="SI",(Datos!L17-Datos!V17)/Datos!V17,(Datos!L17+Datos!AF17-(Datos!V17+Datos!AN17))/(Datos!V17+Datos!AN17))
     ),IF(D_I="SI",(Datos!L17-Datos!V17)/Datos!V17,(Datos!L17+Datos!AF17-(Datos!V17+Datos!AN17))/(Datos!V17+Datos!AN17))," - ")</f>
        <v>-0.14285714285714285</v>
      </c>
      <c r="H17" s="230" t="str">
        <f>IF(ISNUMBER((Datos!M17-Datos!W17)/Datos!W17),(Datos!M17-Datos!W17)/Datos!W17," - ")</f>
        <v xml:space="preserve"> - </v>
      </c>
      <c r="I17" s="350">
        <f>IF(ISNUMBER((Tasas!C17-Datos!BE17)/Datos!BE17),(Tasas!C17-Datos!BE17)/Datos!BE17," - ")</f>
        <v>0</v>
      </c>
      <c r="J17" s="349" t="str">
        <f>IF(ISNUMBER((Tasas!D17-Datos!BF17)/Datos!BF17),(Tasas!D17-Datos!BF17)/Datos!BF17," - ")</f>
        <v xml:space="preserve"> - </v>
      </c>
      <c r="K17" s="351">
        <f>IF(ISNUMBER((Tasas!E17-Datos!BG17)/Datos!BG17),(Tasas!E17-Datos!BG17)/Datos!BG17," - ")</f>
        <v>0</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-0.31683168316831684</v>
      </c>
      <c r="E18" s="354">
        <f>IF(ISNUMBER(
   IF(D_I="SI",(Datos!J18-Datos!T18)/Datos!T18,(Datos!J18+Datos!AD18-(Datos!T18+Datos!AL18))/(Datos!T18+Datos!AL18))
     ),IF(D_I="SI",(Datos!J18-Datos!T18)/Datos!T18,(Datos!J18+Datos!AD18-(Datos!T18+Datos!AL18))/(Datos!T18+Datos!AL18))," - ")</f>
        <v>5.3030303030303032E-2</v>
      </c>
      <c r="F18" s="354">
        <f>IF(ISNUMBER(
   IF(D_I="SI",(Datos!K18-Datos!U18)/Datos!U18,(Datos!K18+Datos!AE18-(Datos!U18+Datos!AM18))/(Datos!U18+Datos!AM18))
     ),IF(D_I="SI",(Datos!K18-Datos!U18)/Datos!U18,(Datos!K18+Datos!AE18-(Datos!U18+Datos!AM18))/(Datos!U18+Datos!AM18))," - ")</f>
        <v>0.38842975206611569</v>
      </c>
      <c r="G18" s="355">
        <f>IF(ISNUMBER(
   IF(D_I="SI",(Datos!L18-Datos!V18)/Datos!V18,(Datos!L18+Datos!AF18-(Datos!V18+Datos!AN18))/(Datos!V18+Datos!AN18))
     ),IF(D_I="SI",(Datos!L18-Datos!V18)/Datos!V18,(Datos!L18+Datos!AF18-(Datos!V18+Datos!AN18))/(Datos!V18+Datos!AN18))," - ")</f>
        <v>-0.49769585253456222</v>
      </c>
      <c r="H18" s="356">
        <f>IF(ISNUMBER((Datos!M18-Datos!W18)/Datos!W18),(Datos!M18-Datos!W18)/Datos!W18," - ")</f>
        <v>0.35</v>
      </c>
      <c r="I18" s="357">
        <f>IF(ISNUMBER((Tasas!C18-Datos!BE18)/Datos!BE18),(Tasas!C18-Datos!BE18)/Datos!BE18," - ")</f>
        <v>-0.63822141759929785</v>
      </c>
      <c r="J18" s="355">
        <f>IF(ISNUMBER((Tasas!D18-Datos!BF18)/Datos!BF18),(Tasas!D18-Datos!BF18)/Datos!BF18," - ")</f>
        <v>-2.7678571428571382E-2</v>
      </c>
      <c r="K18" s="358">
        <f>IF(ISNUMBER((Tasas!E18-Datos!BG18)/Datos!BG18),(Tasas!E18-Datos!BG18)/Datos!BG18," - ")</f>
        <v>-0.40267678927858575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-6.8656716417910449E-2</v>
      </c>
      <c r="E19" s="363">
        <f>IF(ISNUMBER(
   IF(J_V="SI",(Datos!J19-Datos!T19)/Datos!T19,(Datos!J19+Datos!Z19-(Datos!T19+Datos!AH19))/(Datos!T19+Datos!AH19))
     ),IF(J_V="SI",(Datos!J19-Datos!T19)/Datos!T19,(Datos!J19+Datos!Z19-(Datos!T19+Datos!AH19))/(Datos!T19+Datos!AH19))," - ")</f>
        <v>0.29946524064171121</v>
      </c>
      <c r="F19" s="363">
        <f>IF(ISNUMBER(
   IF(J_V="SI",(Datos!K19-Datos!U19)/Datos!U19,(Datos!K19+Datos!AA19-(Datos!U19+Datos!AI19))/(Datos!U19+Datos!AI19))
     ),IF(J_V="SI",(Datos!K19-Datos!U19)/Datos!U19,(Datos!K19+Datos!AA19-(Datos!U19+Datos!AI19))/(Datos!U19+Datos!AI19))," - ")</f>
        <v>0.28125</v>
      </c>
      <c r="G19" s="364">
        <f>IF(ISNUMBER(
   IF(J_V="SI",(Datos!L19-Datos!V19)/Datos!V19,(Datos!L19+Datos!AB19-(Datos!V19+Datos!AJ19))/(Datos!V19+Datos!AJ19))
     ),IF(J_V="SI",(Datos!L19-Datos!V19)/Datos!V19,(Datos!L19+Datos!AB19-(Datos!V19+Datos!AJ19))/(Datos!V19+Datos!AJ19))," - ")</f>
        <v>-7.4850299401197598E-2</v>
      </c>
      <c r="H19" s="365">
        <f>IF(ISNUMBER((Datos!M19-Datos!W19)/Datos!W19),(Datos!M19-Datos!W19)/Datos!W19," - ")</f>
        <v>0.14893617021276595</v>
      </c>
      <c r="I19" s="362">
        <f>IF(ISNUMBER((Tasas!C19-Datos!BE19)/Datos!BE19),(Tasas!C19-Datos!BE19)/Datos!BE19," - ")</f>
        <v>-0.27793194099605661</v>
      </c>
      <c r="J19" s="363">
        <f>IF(ISNUMBER((Tasas!D19-Datos!BF19)/Datos!BF19),(Tasas!D19-Datos!BF19)/Datos!BF19," - ")</f>
        <v>0.91574279379157442</v>
      </c>
      <c r="K19" s="364">
        <f>IF(ISNUMBER((Tasas!E19-Datos!BG19)/Datos!BG19),(Tasas!E19-Datos!BG19)/Datos!BG19," - ")</f>
        <v>-0.17017101205494822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8.8054822627867152E-2</v>
      </c>
      <c r="E21" s="278">
        <f t="shared" si="1"/>
        <v>0.10625682421957675</v>
      </c>
      <c r="F21" s="278">
        <f t="shared" si="1"/>
        <v>0.31657654437472893</v>
      </c>
      <c r="G21" s="279">
        <f t="shared" si="1"/>
        <v>0.20836460627808151</v>
      </c>
      <c r="H21" s="285">
        <f t="shared" si="1"/>
        <v>0.17795130420052185</v>
      </c>
      <c r="I21" s="277">
        <f t="shared" si="1"/>
        <v>0.59972680515164134</v>
      </c>
      <c r="J21" s="278">
        <f t="shared" si="1"/>
        <v>6.5602434964392433</v>
      </c>
      <c r="K21" s="279">
        <f t="shared" si="1"/>
        <v>0.37711000190087268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Z2pkU8F7rrDFb15doRhESsCs7F+6PAOif41T++KoPiR7OsAbrRq+sGEQ4aBW+ZndKmOgQ7yCqZWawKPMMqqvA==" saltValue="zg9ipA4N6bFnKROOtcP4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